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'ara\Desktop\BOJ\02.2025\"/>
    </mc:Choice>
  </mc:AlternateContent>
  <xr:revisionPtr revIDLastSave="0" documentId="13_ncr:1_{5B841EAB-05CA-471A-9A19-3DD3E4DCDDB5}" xr6:coauthVersionLast="47" xr6:coauthVersionMax="47" xr10:uidLastSave="{00000000-0000-0000-0000-000000000000}"/>
  <bookViews>
    <workbookView xWindow="-120" yWindow="-120" windowWidth="29040" windowHeight="15720" xr2:uid="{2B69D64C-685E-4768-8AC5-1E6D9634F203}"/>
  </bookViews>
  <sheets>
    <sheet name="Active Plan Members" sheetId="2" r:id="rId1"/>
    <sheet name="Pensioners" sheetId="3" r:id="rId2"/>
    <sheet name="Assets" sheetId="1" r:id="rId3"/>
    <sheet name="Funded Status" sheetId="4" r:id="rId4"/>
    <sheet name="Ernie Cannon" sheetId="9" state="hidden" r:id="rId5"/>
    <sheet name="Edmund Phillips" sheetId="5" state="hidden" r:id="rId6"/>
    <sheet name="Note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K13" i="5"/>
  <c r="J14" i="5" s="1"/>
  <c r="K14" i="5" s="1"/>
  <c r="J15" i="5" s="1"/>
  <c r="K15" i="5" s="1"/>
  <c r="J16" i="5" s="1"/>
  <c r="K16" i="5" s="1"/>
  <c r="J17" i="5" s="1"/>
  <c r="K17" i="5" s="1"/>
  <c r="J18" i="5" s="1"/>
  <c r="K18" i="5" s="1"/>
  <c r="J19" i="5" s="1"/>
  <c r="K19" i="5" s="1"/>
  <c r="J20" i="5" s="1"/>
  <c r="K20" i="5" s="1"/>
  <c r="J21" i="5" s="1"/>
  <c r="K21" i="5" s="1"/>
  <c r="J22" i="5" s="1"/>
  <c r="K22" i="5" s="1"/>
  <c r="J23" i="5" s="1"/>
  <c r="K23" i="5" s="1"/>
  <c r="J24" i="5" s="1"/>
  <c r="K24" i="5" s="1"/>
  <c r="J25" i="5" s="1"/>
  <c r="K25" i="5" s="1"/>
  <c r="J26" i="5" s="1"/>
  <c r="K26" i="5" s="1"/>
  <c r="J27" i="5" s="1"/>
  <c r="K27" i="5" s="1"/>
  <c r="J28" i="5" s="1"/>
  <c r="K28" i="5" s="1"/>
  <c r="J29" i="5" s="1"/>
  <c r="K29" i="5" s="1"/>
  <c r="J30" i="5" s="1"/>
  <c r="K30" i="5" s="1"/>
  <c r="J31" i="5" s="1"/>
  <c r="K31" i="5" s="1"/>
  <c r="J32" i="5" s="1"/>
  <c r="K32" i="5" s="1"/>
  <c r="J33" i="5" s="1"/>
  <c r="K33" i="5" s="1"/>
  <c r="J34" i="5" s="1"/>
  <c r="K34" i="5" s="1"/>
  <c r="J35" i="5" s="1"/>
  <c r="K35" i="5" s="1"/>
  <c r="J36" i="5" s="1"/>
  <c r="K36" i="5" s="1"/>
  <c r="J37" i="5" s="1"/>
  <c r="K37" i="5" s="1"/>
  <c r="J38" i="5" s="1"/>
  <c r="K38" i="5" s="1"/>
  <c r="J39" i="5" s="1"/>
  <c r="K39" i="5" s="1"/>
  <c r="J40" i="5" s="1"/>
  <c r="K40" i="5" s="1"/>
  <c r="J41" i="5" s="1"/>
  <c r="K41" i="5" s="1"/>
  <c r="J42" i="5" s="1"/>
  <c r="K42" i="5" s="1"/>
  <c r="J27" i="9"/>
  <c r="D15" i="9"/>
  <c r="D26" i="9" s="1"/>
  <c r="D14" i="9"/>
  <c r="B25" i="9" s="1"/>
  <c r="B26" i="9" s="1"/>
  <c r="B27" i="9" s="1"/>
  <c r="B28" i="9" s="1"/>
  <c r="B29" i="9" s="1"/>
  <c r="V14" i="2"/>
  <c r="V15" i="2"/>
  <c r="V16" i="2"/>
  <c r="V17" i="2"/>
  <c r="V18" i="2"/>
  <c r="V19" i="2"/>
  <c r="V20" i="2"/>
  <c r="V21" i="2"/>
  <c r="V22" i="2"/>
  <c r="V13" i="2"/>
  <c r="L11" i="3"/>
  <c r="L12" i="3"/>
  <c r="L13" i="3"/>
  <c r="L10" i="3"/>
  <c r="F11" i="3"/>
  <c r="F14" i="2"/>
  <c r="F15" i="2"/>
  <c r="F16" i="2"/>
  <c r="F17" i="2"/>
  <c r="F18" i="2"/>
  <c r="F19" i="2"/>
  <c r="F20" i="2"/>
  <c r="F21" i="2"/>
  <c r="F22" i="2"/>
  <c r="F13" i="2"/>
  <c r="K11" i="5"/>
  <c r="J12" i="5" s="1"/>
  <c r="D23" i="5"/>
  <c r="D29" i="5" s="1"/>
  <c r="E11" i="3"/>
  <c r="E12" i="3"/>
  <c r="E13" i="3"/>
  <c r="E10" i="3"/>
  <c r="G23" i="2"/>
  <c r="C12" i="1"/>
  <c r="E6" i="1" s="1"/>
  <c r="Q14" i="2"/>
  <c r="Q19" i="2"/>
  <c r="S18" i="2"/>
  <c r="S22" i="2"/>
  <c r="M13" i="5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F13" i="5"/>
  <c r="F12" i="5"/>
  <c r="D31" i="5" s="1"/>
  <c r="H10" i="3"/>
  <c r="I10" i="3" s="1"/>
  <c r="I11" i="3"/>
  <c r="I12" i="3"/>
  <c r="F10" i="3"/>
  <c r="D17" i="5"/>
  <c r="D19" i="5" s="1"/>
  <c r="H13" i="3"/>
  <c r="I13" i="3" s="1"/>
  <c r="F12" i="3"/>
  <c r="F13" i="3"/>
  <c r="Q17" i="2"/>
  <c r="Q20" i="2"/>
  <c r="D25" i="9" l="1"/>
  <c r="D29" i="9"/>
  <c r="D28" i="9"/>
  <c r="D27" i="9"/>
  <c r="C14" i="4"/>
  <c r="E11" i="1"/>
  <c r="E10" i="1"/>
  <c r="E5" i="1"/>
  <c r="E9" i="1"/>
  <c r="E7" i="1"/>
  <c r="E8" i="1"/>
  <c r="L14" i="3"/>
  <c r="C10" i="4" s="1"/>
  <c r="K12" i="5"/>
  <c r="D32" i="5"/>
  <c r="S20" i="2"/>
  <c r="S15" i="2"/>
  <c r="S16" i="2"/>
  <c r="S19" i="2"/>
  <c r="S21" i="2"/>
  <c r="S13" i="2"/>
  <c r="S17" i="2"/>
  <c r="S14" i="2"/>
  <c r="P23" i="2"/>
  <c r="M23" i="2"/>
  <c r="J23" i="2"/>
  <c r="E12" i="1" l="1"/>
  <c r="Q21" i="2"/>
  <c r="Q18" i="2"/>
  <c r="R22" i="2"/>
  <c r="Q16" i="2"/>
  <c r="N16" i="2"/>
  <c r="Q22" i="2"/>
  <c r="Q13" i="2"/>
  <c r="N15" i="2"/>
  <c r="K14" i="2"/>
  <c r="N14" i="2"/>
  <c r="N21" i="2"/>
  <c r="K22" i="2"/>
  <c r="N22" i="2"/>
  <c r="N17" i="2"/>
  <c r="N19" i="2"/>
  <c r="N18" i="2"/>
  <c r="N20" i="2"/>
  <c r="K17" i="2"/>
  <c r="K15" i="2"/>
  <c r="S23" i="2"/>
  <c r="R14" i="2"/>
  <c r="K16" i="2"/>
  <c r="K18" i="2"/>
  <c r="I23" i="2"/>
  <c r="K21" i="2"/>
  <c r="K19" i="2"/>
  <c r="K20" i="2"/>
  <c r="K13" i="2"/>
  <c r="T16" i="2" l="1"/>
  <c r="O23" i="2"/>
  <c r="Q15" i="2"/>
  <c r="Q23" i="2" s="1"/>
  <c r="C8" i="4" s="1"/>
  <c r="T17" i="2"/>
  <c r="T22" i="2"/>
  <c r="E24" i="9" s="1"/>
  <c r="C25" i="9" s="1"/>
  <c r="E25" i="9" s="1"/>
  <c r="C26" i="9" s="1"/>
  <c r="E26" i="9" s="1"/>
  <c r="C27" i="9" s="1"/>
  <c r="R20" i="2"/>
  <c r="R21" i="2"/>
  <c r="T20" i="2"/>
  <c r="T21" i="2"/>
  <c r="T14" i="2"/>
  <c r="R18" i="2"/>
  <c r="T18" i="2"/>
  <c r="T19" i="2"/>
  <c r="R19" i="2"/>
  <c r="R15" i="2"/>
  <c r="R17" i="2"/>
  <c r="R16" i="2"/>
  <c r="N13" i="2"/>
  <c r="L23" i="2"/>
  <c r="R13" i="2"/>
  <c r="K23" i="2"/>
  <c r="C7" i="4" s="1"/>
  <c r="N23" i="2" l="1"/>
  <c r="C9" i="4"/>
  <c r="C11" i="4" s="1"/>
  <c r="C18" i="4" s="1"/>
  <c r="E27" i="9"/>
  <c r="C28" i="9" s="1"/>
  <c r="E28" i="9" s="1"/>
  <c r="C29" i="9" s="1"/>
  <c r="E29" i="9" s="1"/>
  <c r="T15" i="2"/>
  <c r="R23" i="2"/>
  <c r="T13" i="2"/>
  <c r="J26" i="9" l="1"/>
  <c r="J29" i="9" s="1"/>
  <c r="T23" i="2"/>
</calcChain>
</file>

<file path=xl/sharedStrings.xml><?xml version="1.0" encoding="utf-8"?>
<sst xmlns="http://schemas.openxmlformats.org/spreadsheetml/2006/main" count="187" uniqueCount="116">
  <si>
    <t>Date of Birth</t>
  </si>
  <si>
    <t>Gender</t>
  </si>
  <si>
    <t>Date of Retirement</t>
  </si>
  <si>
    <t>M</t>
  </si>
  <si>
    <t>F</t>
  </si>
  <si>
    <t>DOB</t>
  </si>
  <si>
    <t>Basic Contributions</t>
  </si>
  <si>
    <t>Employer Contributions</t>
  </si>
  <si>
    <t>Voluntary Contributions</t>
  </si>
  <si>
    <t>BOY</t>
  </si>
  <si>
    <t>Conts</t>
  </si>
  <si>
    <t>EOY</t>
  </si>
  <si>
    <t>Sex</t>
  </si>
  <si>
    <t>DOE</t>
  </si>
  <si>
    <t>Cash</t>
  </si>
  <si>
    <t>Receivables</t>
  </si>
  <si>
    <t>Interest Rate Credited</t>
  </si>
  <si>
    <t>SAL</t>
  </si>
  <si>
    <t>Annual Salary</t>
  </si>
  <si>
    <t>Date of Entry</t>
  </si>
  <si>
    <t>SEX</t>
  </si>
  <si>
    <t>DRET</t>
  </si>
  <si>
    <t>PENS</t>
  </si>
  <si>
    <t>Annual Pension</t>
  </si>
  <si>
    <t>Total Account Balance</t>
  </si>
  <si>
    <t>Alternative Investments</t>
  </si>
  <si>
    <t>Equties</t>
  </si>
  <si>
    <t>Corporate Bonds</t>
  </si>
  <si>
    <t>GOJ Bonds</t>
  </si>
  <si>
    <t>Real Estate</t>
  </si>
  <si>
    <t>https://afc.soa.org/#Calculator</t>
  </si>
  <si>
    <t>Society of Actuaries Annuity Factor Caculator:</t>
  </si>
  <si>
    <t>Edmund Philips</t>
  </si>
  <si>
    <t>Alexander Barrow</t>
  </si>
  <si>
    <t>Nicky May</t>
  </si>
  <si>
    <t>Gwendoline Parkin</t>
  </si>
  <si>
    <t>Luther Bass</t>
  </si>
  <si>
    <t>Joel Downs</t>
  </si>
  <si>
    <t>Frances Hodge</t>
  </si>
  <si>
    <t>Sam Tate</t>
  </si>
  <si>
    <t>Geoffrey Hickman</t>
  </si>
  <si>
    <t>Allan Clayton</t>
  </si>
  <si>
    <t>Tiffany McGraw</t>
  </si>
  <si>
    <t>Ernie Cannon</t>
  </si>
  <si>
    <t>Chuck McMahon</t>
  </si>
  <si>
    <t>Beginning of Year</t>
  </si>
  <si>
    <t>Contributions</t>
  </si>
  <si>
    <t>End of Year</t>
  </si>
  <si>
    <t>Total Assets</t>
  </si>
  <si>
    <t>Return on Assets</t>
  </si>
  <si>
    <t>At retirement:</t>
  </si>
  <si>
    <t>Age</t>
  </si>
  <si>
    <t>DOB2</t>
  </si>
  <si>
    <t>SEX2</t>
  </si>
  <si>
    <t>AGE2</t>
  </si>
  <si>
    <t>AGE</t>
  </si>
  <si>
    <t>Age of Pensioner</t>
  </si>
  <si>
    <t>Gender of Beneficiary</t>
  </si>
  <si>
    <t>Beneficiary Date of Birth</t>
  </si>
  <si>
    <t>Date</t>
  </si>
  <si>
    <t>Spouse Age</t>
  </si>
  <si>
    <t>Pensioner</t>
  </si>
  <si>
    <t>Spouse</t>
  </si>
  <si>
    <t>Winnifred Philips</t>
  </si>
  <si>
    <t>Annuity Factor</t>
  </si>
  <si>
    <t>FAC</t>
  </si>
  <si>
    <t>At valuation date:</t>
  </si>
  <si>
    <t>Total Contributions</t>
  </si>
  <si>
    <t>at 10%</t>
  </si>
  <si>
    <t>at 5%</t>
  </si>
  <si>
    <t>Value of Pension</t>
  </si>
  <si>
    <t>EOY+INT</t>
  </si>
  <si>
    <t>Expected Future Lifetime</t>
  </si>
  <si>
    <t>Pension Paid Out</t>
  </si>
  <si>
    <t>Years in Retirement</t>
  </si>
  <si>
    <t>RATES</t>
  </si>
  <si>
    <t>Member's Basic Contributions</t>
  </si>
  <si>
    <t>Member's Voluntary Contributions</t>
  </si>
  <si>
    <t>Pensions in Payment</t>
  </si>
  <si>
    <t>Employer's Contributions - Vested</t>
  </si>
  <si>
    <t>Voluntary Contribution Rate</t>
  </si>
  <si>
    <t>VOL%</t>
  </si>
  <si>
    <t>Basic Contribution Rate</t>
  </si>
  <si>
    <t>Employer Contribution Rate</t>
  </si>
  <si>
    <t>up to 5%</t>
  </si>
  <si>
    <t>Dianne Belcher</t>
  </si>
  <si>
    <t>Note: using the default settings these factors will not be appropriate for Jamaica</t>
  </si>
  <si>
    <t>Beneficiary Age</t>
  </si>
  <si>
    <t>SER</t>
  </si>
  <si>
    <t>Service</t>
  </si>
  <si>
    <t>PENSVAL</t>
  </si>
  <si>
    <t>ANALYSIS - EDMUND PHILIPS</t>
  </si>
  <si>
    <t>ASSETS</t>
  </si>
  <si>
    <t>LIABILITIES</t>
  </si>
  <si>
    <t>ASSETS/LIABILITIES</t>
  </si>
  <si>
    <t>ESTIMATED EOY ACCOUNT VALUES</t>
  </si>
  <si>
    <t>IF PAID FROM MEMBER TOTAL CONTS</t>
  </si>
  <si>
    <t>DC PLAN CASE STUDY</t>
  </si>
  <si>
    <t>For each of the tabs in the spreadsheet note anything that you think is a problem or that you like to  investigate further.</t>
  </si>
  <si>
    <t>Active Plan Members</t>
  </si>
  <si>
    <t>Pensioners</t>
  </si>
  <si>
    <t>Assets</t>
  </si>
  <si>
    <t>Funded Status</t>
  </si>
  <si>
    <t>NAME</t>
  </si>
  <si>
    <t>SALARY</t>
  </si>
  <si>
    <t>CONTS</t>
  </si>
  <si>
    <t>ESTIMATED EOY ACCOUNT VALUES AT RETIREMENT</t>
  </si>
  <si>
    <t>ANNUITY FACTORS</t>
  </si>
  <si>
    <t>Interest Rate</t>
  </si>
  <si>
    <t>Total Conts at age 65</t>
  </si>
  <si>
    <t>Note: with the default settings these factors will not be appropriate for Jamaica</t>
  </si>
  <si>
    <t>ROUGH PENSION ESTIMATE</t>
  </si>
  <si>
    <t>TOTAL CONT RATE:</t>
  </si>
  <si>
    <t>Value of Future Pension Payments</t>
  </si>
  <si>
    <t>AT 5%</t>
  </si>
  <si>
    <t>Note: this case study is not based on any real pension plan, and does not represent best practice.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</si>
</sst>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#,##0_);[Red]\(#,##0\)"/>
    <numFmt numFmtId="166" formatCode="0%;\-0%;\-"/>
    <numFmt numFmtId="167" formatCode="#,##0;\-#,##0;\-"/>
    <numFmt numFmtId="168" formatCode="#,##0_);[Red]\(#,##0\);\-_)"/>
    <numFmt numFmtId="169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"/>
      <family val="2"/>
    </font>
    <font>
      <b/>
      <sz val="11"/>
      <color rgb="FFFF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EB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" fontId="0" fillId="0" borderId="0" xfId="0" applyNumberFormat="1"/>
    <xf numFmtId="9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3" fillId="0" borderId="0" xfId="2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10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9" fontId="0" fillId="0" borderId="0" xfId="0" applyNumberFormat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0" fontId="2" fillId="0" borderId="1" xfId="0" applyFont="1" applyBorder="1"/>
    <xf numFmtId="14" fontId="0" fillId="0" borderId="2" xfId="0" applyNumberFormat="1" applyBorder="1"/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right"/>
    </xf>
    <xf numFmtId="0" fontId="2" fillId="0" borderId="0" xfId="0" applyFont="1" applyAlignment="1">
      <alignment horizontal="center"/>
    </xf>
    <xf numFmtId="3" fontId="0" fillId="0" borderId="5" xfId="0" applyNumberFormat="1" applyBorder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1" xfId="0" applyNumberFormat="1" applyBorder="1"/>
    <xf numFmtId="167" fontId="0" fillId="0" borderId="2" xfId="0" applyNumberFormat="1" applyBorder="1"/>
    <xf numFmtId="167" fontId="0" fillId="0" borderId="3" xfId="0" applyNumberFormat="1" applyBorder="1"/>
    <xf numFmtId="167" fontId="0" fillId="0" borderId="4" xfId="0" applyNumberFormat="1" applyBorder="1"/>
    <xf numFmtId="167" fontId="0" fillId="0" borderId="0" xfId="0" applyNumberFormat="1"/>
    <xf numFmtId="167" fontId="0" fillId="0" borderId="5" xfId="0" applyNumberFormat="1" applyBorder="1"/>
    <xf numFmtId="167" fontId="0" fillId="0" borderId="6" xfId="0" applyNumberFormat="1" applyBorder="1"/>
    <xf numFmtId="167" fontId="0" fillId="0" borderId="7" xfId="0" applyNumberFormat="1" applyBorder="1"/>
    <xf numFmtId="167" fontId="0" fillId="0" borderId="8" xfId="0" applyNumberFormat="1" applyBorder="1"/>
    <xf numFmtId="3" fontId="0" fillId="0" borderId="9" xfId="0" applyNumberFormat="1" applyBorder="1"/>
    <xf numFmtId="168" fontId="0" fillId="0" borderId="0" xfId="0" applyNumberFormat="1"/>
    <xf numFmtId="168" fontId="0" fillId="0" borderId="9" xfId="0" applyNumberFormat="1" applyBorder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69" fontId="0" fillId="0" borderId="0" xfId="1" applyNumberFormat="1" applyFont="1"/>
    <xf numFmtId="169" fontId="0" fillId="0" borderId="0" xfId="0" applyNumberFormat="1"/>
    <xf numFmtId="169" fontId="2" fillId="0" borderId="0" xfId="1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165" fontId="0" fillId="0" borderId="0" xfId="0" applyNumberFormat="1" applyBorder="1"/>
    <xf numFmtId="1" fontId="2" fillId="0" borderId="0" xfId="0" applyNumberFormat="1" applyFont="1" applyAlignment="1">
      <alignment horizontal="center"/>
    </xf>
    <xf numFmtId="0" fontId="0" fillId="0" borderId="1" xfId="0" applyBorder="1"/>
    <xf numFmtId="3" fontId="0" fillId="0" borderId="3" xfId="0" applyNumberFormat="1" applyBorder="1"/>
    <xf numFmtId="165" fontId="0" fillId="0" borderId="7" xfId="0" applyNumberFormat="1" applyBorder="1"/>
    <xf numFmtId="0" fontId="2" fillId="0" borderId="3" xfId="0" applyFont="1" applyBorder="1" applyAlignment="1">
      <alignment horizontal="right"/>
    </xf>
    <xf numFmtId="9" fontId="0" fillId="0" borderId="4" xfId="0" applyNumberFormat="1" applyBorder="1"/>
    <xf numFmtId="164" fontId="0" fillId="0" borderId="5" xfId="0" applyNumberFormat="1" applyBorder="1"/>
    <xf numFmtId="9" fontId="0" fillId="0" borderId="6" xfId="0" applyNumberFormat="1" applyBorder="1"/>
    <xf numFmtId="164" fontId="0" fillId="0" borderId="8" xfId="0" applyNumberFormat="1" applyBorder="1"/>
    <xf numFmtId="0" fontId="0" fillId="0" borderId="0" xfId="0" applyBorder="1" applyAlignment="1">
      <alignment horizontal="right"/>
    </xf>
    <xf numFmtId="3" fontId="0" fillId="0" borderId="8" xfId="0" applyNumberFormat="1" applyBorder="1"/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14" fontId="0" fillId="0" borderId="5" xfId="0" applyNumberFormat="1" applyBorder="1"/>
    <xf numFmtId="1" fontId="0" fillId="0" borderId="5" xfId="0" applyNumberFormat="1" applyBorder="1"/>
    <xf numFmtId="9" fontId="9" fillId="2" borderId="5" xfId="0" applyNumberFormat="1" applyFont="1" applyFill="1" applyBorder="1"/>
    <xf numFmtId="9" fontId="8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right"/>
    </xf>
    <xf numFmtId="0" fontId="9" fillId="0" borderId="0" xfId="0" applyFont="1"/>
    <xf numFmtId="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1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 applyAlignment="1">
      <alignment horizontal="right"/>
    </xf>
    <xf numFmtId="3" fontId="12" fillId="0" borderId="0" xfId="0" applyNumberFormat="1" applyFont="1"/>
    <xf numFmtId="0" fontId="12" fillId="0" borderId="5" xfId="0" applyFont="1" applyBorder="1" applyAlignment="1">
      <alignment horizontal="center"/>
    </xf>
    <xf numFmtId="0" fontId="12" fillId="0" borderId="0" xfId="0" applyFont="1"/>
    <xf numFmtId="1" fontId="12" fillId="0" borderId="0" xfId="0" applyNumberFormat="1" applyFont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8EBA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fc.soa.org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fc.soa.org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fc.so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D5B7-530D-49AF-9BF3-0C538E8E2ED4}">
  <dimension ref="B2:V33"/>
  <sheetViews>
    <sheetView tabSelected="1" workbookViewId="0"/>
  </sheetViews>
  <sheetFormatPr defaultRowHeight="15" x14ac:dyDescent="0.25"/>
  <cols>
    <col min="2" max="2" width="25.85546875" customWidth="1"/>
    <col min="3" max="3" width="9.140625" style="1"/>
    <col min="4" max="4" width="13" customWidth="1"/>
    <col min="5" max="5" width="12.85546875" customWidth="1"/>
    <col min="6" max="6" width="7.42578125" customWidth="1"/>
    <col min="7" max="7" width="13.28515625" customWidth="1"/>
    <col min="8" max="8" width="9.140625" style="1"/>
    <col min="9" max="20" width="12.28515625" customWidth="1"/>
    <col min="22" max="22" width="0" hidden="1" customWidth="1"/>
  </cols>
  <sheetData>
    <row r="2" spans="2:22" x14ac:dyDescent="0.25">
      <c r="B2" s="17" t="s">
        <v>115</v>
      </c>
    </row>
    <row r="5" spans="2:22" x14ac:dyDescent="0.25">
      <c r="B5" s="90" t="s">
        <v>16</v>
      </c>
      <c r="C5" s="91">
        <v>7.0000000000000007E-2</v>
      </c>
    </row>
    <row r="7" spans="2:22" x14ac:dyDescent="0.25">
      <c r="B7" t="s">
        <v>82</v>
      </c>
      <c r="C7" s="4">
        <v>0.05</v>
      </c>
    </row>
    <row r="8" spans="2:22" x14ac:dyDescent="0.25">
      <c r="B8" t="s">
        <v>83</v>
      </c>
      <c r="C8" s="4">
        <v>0.05</v>
      </c>
    </row>
    <row r="9" spans="2:22" x14ac:dyDescent="0.25">
      <c r="B9" t="s">
        <v>80</v>
      </c>
      <c r="C9" s="1" t="s">
        <v>84</v>
      </c>
    </row>
    <row r="11" spans="2:22" s="17" customFormat="1" x14ac:dyDescent="0.25">
      <c r="C11" s="33"/>
      <c r="H11" s="33"/>
      <c r="I11" s="26" t="s">
        <v>6</v>
      </c>
      <c r="J11" s="56"/>
      <c r="K11" s="56"/>
      <c r="L11" s="26" t="s">
        <v>7</v>
      </c>
      <c r="M11" s="56"/>
      <c r="N11" s="57"/>
      <c r="O11" s="56" t="s">
        <v>8</v>
      </c>
      <c r="P11" s="56"/>
      <c r="Q11" s="56"/>
      <c r="R11" s="26" t="s">
        <v>24</v>
      </c>
      <c r="S11" s="56"/>
      <c r="T11" s="57"/>
    </row>
    <row r="12" spans="2:22" s="17" customFormat="1" x14ac:dyDescent="0.25">
      <c r="C12" s="33" t="s">
        <v>12</v>
      </c>
      <c r="D12" s="14" t="s">
        <v>5</v>
      </c>
      <c r="E12" s="14" t="s">
        <v>13</v>
      </c>
      <c r="F12" s="14" t="s">
        <v>88</v>
      </c>
      <c r="G12" s="14" t="s">
        <v>17</v>
      </c>
      <c r="H12" s="33" t="s">
        <v>81</v>
      </c>
      <c r="I12" s="58" t="s">
        <v>9</v>
      </c>
      <c r="J12" s="59" t="s">
        <v>10</v>
      </c>
      <c r="K12" s="59" t="s">
        <v>11</v>
      </c>
      <c r="L12" s="58" t="s">
        <v>9</v>
      </c>
      <c r="M12" s="59" t="s">
        <v>10</v>
      </c>
      <c r="N12" s="60" t="s">
        <v>11</v>
      </c>
      <c r="O12" s="59" t="s">
        <v>9</v>
      </c>
      <c r="P12" s="59" t="s">
        <v>10</v>
      </c>
      <c r="Q12" s="59" t="s">
        <v>11</v>
      </c>
      <c r="R12" s="58" t="s">
        <v>9</v>
      </c>
      <c r="S12" s="59" t="s">
        <v>10</v>
      </c>
      <c r="T12" s="60" t="s">
        <v>11</v>
      </c>
      <c r="V12" s="33" t="s">
        <v>55</v>
      </c>
    </row>
    <row r="13" spans="2:22" x14ac:dyDescent="0.25">
      <c r="B13" s="18" t="s">
        <v>36</v>
      </c>
      <c r="C13" s="1" t="s">
        <v>3</v>
      </c>
      <c r="D13" s="2">
        <v>31113</v>
      </c>
      <c r="E13" s="2">
        <v>40974.75</v>
      </c>
      <c r="F13" s="20">
        <f ca="1">(NOW()-E13)/365.25</f>
        <v>12.98102813300124</v>
      </c>
      <c r="G13" s="20">
        <v>6000000</v>
      </c>
      <c r="H13" s="37">
        <v>0.04</v>
      </c>
      <c r="I13" s="38">
        <v>3310097.8607175518</v>
      </c>
      <c r="J13" s="39">
        <v>300000</v>
      </c>
      <c r="K13" s="40">
        <f>I13*(1+$C$5)+J13*(1+$C$5)^0.5</f>
        <v>3852127.1239514388</v>
      </c>
      <c r="L13" s="38">
        <v>3177693.8705005902</v>
      </c>
      <c r="M13" s="39">
        <v>240000</v>
      </c>
      <c r="N13" s="40">
        <f>L13*(1+$C$5)+M13*(1+$C$5)^0.5</f>
        <v>3648390.3718225583</v>
      </c>
      <c r="O13" s="38">
        <v>2482573.3955381638</v>
      </c>
      <c r="P13" s="39">
        <v>240000</v>
      </c>
      <c r="Q13" s="40">
        <f>O13*(1+$C$5)+P13*(1+$C$5)^0.5</f>
        <v>2904611.4636127618</v>
      </c>
      <c r="R13" s="38">
        <f>I13+L13+O13</f>
        <v>8970365.1267563067</v>
      </c>
      <c r="S13" s="39">
        <f t="shared" ref="S13:T22" si="0">J13+M13+P13</f>
        <v>780000</v>
      </c>
      <c r="T13" s="40">
        <f t="shared" si="0"/>
        <v>10405128.959386759</v>
      </c>
      <c r="V13" s="50">
        <f ca="1">(NOW()-D13)/365.25</f>
        <v>39.981028133001239</v>
      </c>
    </row>
    <row r="14" spans="2:22" x14ac:dyDescent="0.25">
      <c r="B14" s="18" t="s">
        <v>37</v>
      </c>
      <c r="C14" s="1" t="s">
        <v>3</v>
      </c>
      <c r="D14" s="2">
        <v>36894</v>
      </c>
      <c r="E14" s="2">
        <v>44929.5</v>
      </c>
      <c r="F14" s="20">
        <f t="shared" ref="F14:F22" ca="1" si="1">(NOW()-E14)/365.25</f>
        <v>2.1535127325905639</v>
      </c>
      <c r="G14" s="20">
        <v>1800000</v>
      </c>
      <c r="H14" s="37">
        <v>0</v>
      </c>
      <c r="I14" s="41">
        <v>164724.87213239298</v>
      </c>
      <c r="J14" s="42">
        <v>90000</v>
      </c>
      <c r="K14" s="43">
        <f t="shared" ref="K14:K22" si="2">I14*(1+$C$5)+J14*(1+$C$5)^0.5</f>
        <v>269352.33707675792</v>
      </c>
      <c r="L14" s="41">
        <v>158135.85451062978</v>
      </c>
      <c r="M14" s="42">
        <v>72000</v>
      </c>
      <c r="N14" s="43">
        <f t="shared" ref="N14:N22" si="3">L14*(1+$C$5)+M14*(1+$C$5)^0.5</f>
        <v>243682.74344245181</v>
      </c>
      <c r="O14" s="41">
        <v>0</v>
      </c>
      <c r="P14" s="42">
        <v>0</v>
      </c>
      <c r="Q14" s="43">
        <f t="shared" ref="Q14:Q22" si="4">O14*(1+$C$5)+P14*(1+$C$5)^0.5</f>
        <v>0</v>
      </c>
      <c r="R14" s="41">
        <f t="shared" ref="R14:R22" si="5">I14+L14+O14</f>
        <v>322860.72664302273</v>
      </c>
      <c r="S14" s="42">
        <f t="shared" si="0"/>
        <v>162000</v>
      </c>
      <c r="T14" s="43">
        <f t="shared" si="0"/>
        <v>513035.08051920973</v>
      </c>
      <c r="V14" s="50">
        <f t="shared" ref="V14:V22" ca="1" si="6">(NOW()-D14)/365.25</f>
        <v>24.153512732590563</v>
      </c>
    </row>
    <row r="15" spans="2:22" x14ac:dyDescent="0.25">
      <c r="B15" s="18" t="s">
        <v>38</v>
      </c>
      <c r="C15" s="1" t="s">
        <v>4</v>
      </c>
      <c r="D15" s="2">
        <v>26539</v>
      </c>
      <c r="E15" s="2">
        <v>39322.75</v>
      </c>
      <c r="F15" s="20">
        <f t="shared" ca="1" si="1"/>
        <v>17.503957633343472</v>
      </c>
      <c r="G15" s="20">
        <v>7500000</v>
      </c>
      <c r="H15" s="37">
        <v>0.05</v>
      </c>
      <c r="I15" s="41">
        <v>5579305.6027442748</v>
      </c>
      <c r="J15" s="42">
        <v>375000</v>
      </c>
      <c r="K15" s="43">
        <f t="shared" si="2"/>
        <v>6357760.0111659467</v>
      </c>
      <c r="L15" s="41">
        <v>5356133.283899175</v>
      </c>
      <c r="M15" s="42">
        <v>300000</v>
      </c>
      <c r="N15" s="43">
        <f t="shared" si="3"/>
        <v>6041385.0267557753</v>
      </c>
      <c r="O15" s="41">
        <v>5579305.6027442748</v>
      </c>
      <c r="P15" s="42">
        <v>375000</v>
      </c>
      <c r="Q15" s="43">
        <f t="shared" si="4"/>
        <v>6357760.0111659467</v>
      </c>
      <c r="R15" s="41">
        <f t="shared" si="5"/>
        <v>16514744.489387725</v>
      </c>
      <c r="S15" s="42">
        <f t="shared" si="0"/>
        <v>1050000</v>
      </c>
      <c r="T15" s="43">
        <f t="shared" si="0"/>
        <v>18756905.04908767</v>
      </c>
      <c r="V15" s="50">
        <f t="shared" ca="1" si="6"/>
        <v>52.503957633343475</v>
      </c>
    </row>
    <row r="16" spans="2:22" x14ac:dyDescent="0.25">
      <c r="B16" s="18" t="s">
        <v>39</v>
      </c>
      <c r="C16" s="1" t="s">
        <v>4</v>
      </c>
      <c r="D16" s="2">
        <v>28455</v>
      </c>
      <c r="E16" s="2">
        <v>41969.25</v>
      </c>
      <c r="F16" s="20">
        <f t="shared" ca="1" si="1"/>
        <v>10.258235525198366</v>
      </c>
      <c r="G16" s="20">
        <v>8500000</v>
      </c>
      <c r="H16" s="37">
        <v>0.05</v>
      </c>
      <c r="I16" s="41">
        <v>3705696.3171869135</v>
      </c>
      <c r="J16" s="42">
        <v>425000</v>
      </c>
      <c r="K16" s="43">
        <f t="shared" si="2"/>
        <v>4404718.4777835133</v>
      </c>
      <c r="L16" s="41">
        <v>3557468.3571327291</v>
      </c>
      <c r="M16" s="42">
        <v>340000</v>
      </c>
      <c r="N16" s="43">
        <f t="shared" si="3"/>
        <v>4158189.8768468332</v>
      </c>
      <c r="O16" s="41">
        <v>3705696.3171869135</v>
      </c>
      <c r="P16" s="42">
        <v>425000</v>
      </c>
      <c r="Q16" s="43">
        <f t="shared" si="4"/>
        <v>4404718.4777835133</v>
      </c>
      <c r="R16" s="41">
        <f t="shared" si="5"/>
        <v>10968860.991506556</v>
      </c>
      <c r="S16" s="42">
        <f t="shared" si="0"/>
        <v>1190000</v>
      </c>
      <c r="T16" s="43">
        <f t="shared" si="0"/>
        <v>12967626.83241386</v>
      </c>
      <c r="V16" s="50">
        <f t="shared" ca="1" si="6"/>
        <v>47.258235525198366</v>
      </c>
    </row>
    <row r="17" spans="2:22" x14ac:dyDescent="0.25">
      <c r="B17" s="18" t="s">
        <v>85</v>
      </c>
      <c r="C17" s="1" t="s">
        <v>4</v>
      </c>
      <c r="D17" s="2">
        <v>34627</v>
      </c>
      <c r="E17" s="2">
        <v>45584.5</v>
      </c>
      <c r="F17" s="20">
        <f t="shared" ca="1" si="1"/>
        <v>0.36022046701903732</v>
      </c>
      <c r="G17" s="20">
        <v>4300000</v>
      </c>
      <c r="H17" s="37">
        <v>0</v>
      </c>
      <c r="I17" s="41">
        <v>65784.538868694595</v>
      </c>
      <c r="J17" s="42">
        <v>215000</v>
      </c>
      <c r="K17" s="43">
        <f t="shared" si="2"/>
        <v>292787.18589445815</v>
      </c>
      <c r="L17" s="41">
        <v>63153.102999031726</v>
      </c>
      <c r="M17" s="42">
        <v>172000</v>
      </c>
      <c r="N17" s="43">
        <f t="shared" si="3"/>
        <v>245492.00365292787</v>
      </c>
      <c r="O17" s="41">
        <v>0</v>
      </c>
      <c r="P17" s="42">
        <v>0</v>
      </c>
      <c r="Q17" s="43">
        <f t="shared" si="4"/>
        <v>0</v>
      </c>
      <c r="R17" s="41">
        <f t="shared" si="5"/>
        <v>128937.64186772631</v>
      </c>
      <c r="S17" s="42">
        <f t="shared" si="0"/>
        <v>387000</v>
      </c>
      <c r="T17" s="43">
        <f t="shared" si="0"/>
        <v>538279.18954738602</v>
      </c>
      <c r="V17" s="50">
        <f t="shared" ca="1" si="6"/>
        <v>30.360220467019037</v>
      </c>
    </row>
    <row r="18" spans="2:22" x14ac:dyDescent="0.25">
      <c r="B18" s="18" t="s">
        <v>40</v>
      </c>
      <c r="C18" s="1" t="s">
        <v>3</v>
      </c>
      <c r="D18" s="2">
        <v>35582</v>
      </c>
      <c r="E18" s="2">
        <v>43617.5</v>
      </c>
      <c r="F18" s="20">
        <f t="shared" ca="1" si="1"/>
        <v>5.7455729653078809</v>
      </c>
      <c r="G18" s="20">
        <v>6700000</v>
      </c>
      <c r="H18" s="37">
        <v>0.05</v>
      </c>
      <c r="I18" s="41">
        <v>1635980.7554612113</v>
      </c>
      <c r="J18" s="42">
        <v>335000</v>
      </c>
      <c r="K18" s="43">
        <f t="shared" si="2"/>
        <v>2097026.1028419144</v>
      </c>
      <c r="L18" s="41">
        <v>1570541.440612538</v>
      </c>
      <c r="M18" s="42">
        <v>268000</v>
      </c>
      <c r="N18" s="43">
        <f t="shared" si="3"/>
        <v>1957700.6970541503</v>
      </c>
      <c r="O18" s="41">
        <v>1635980.7554612113</v>
      </c>
      <c r="P18" s="42">
        <v>335000</v>
      </c>
      <c r="Q18" s="43">
        <f t="shared" si="4"/>
        <v>2097026.1028419144</v>
      </c>
      <c r="R18" s="41">
        <f t="shared" si="5"/>
        <v>4842502.9515349604</v>
      </c>
      <c r="S18" s="42">
        <f t="shared" si="0"/>
        <v>938000</v>
      </c>
      <c r="T18" s="43">
        <f t="shared" si="0"/>
        <v>6151752.9027379788</v>
      </c>
      <c r="V18" s="50">
        <f t="shared" ca="1" si="6"/>
        <v>27.745572965307879</v>
      </c>
    </row>
    <row r="19" spans="2:22" x14ac:dyDescent="0.25">
      <c r="B19" s="18" t="s">
        <v>41</v>
      </c>
      <c r="C19" s="1" t="s">
        <v>3</v>
      </c>
      <c r="D19" s="2">
        <v>35912</v>
      </c>
      <c r="E19" s="2">
        <v>43582.25</v>
      </c>
      <c r="F19" s="20">
        <f t="shared" ca="1" si="1"/>
        <v>5.8420822055542869</v>
      </c>
      <c r="G19" s="20">
        <v>5300000</v>
      </c>
      <c r="H19" s="37">
        <v>0</v>
      </c>
      <c r="I19" s="41">
        <v>1315872.8055358366</v>
      </c>
      <c r="J19" s="42">
        <v>265000</v>
      </c>
      <c r="K19" s="43">
        <f t="shared" si="2"/>
        <v>1682102.0333922431</v>
      </c>
      <c r="L19" s="41">
        <v>1263237.8263681089</v>
      </c>
      <c r="M19" s="42">
        <v>212000</v>
      </c>
      <c r="N19" s="43">
        <f t="shared" si="3"/>
        <v>1570958.9793889949</v>
      </c>
      <c r="O19" s="41">
        <v>0</v>
      </c>
      <c r="P19" s="42">
        <v>0</v>
      </c>
      <c r="Q19" s="43">
        <f t="shared" si="4"/>
        <v>0</v>
      </c>
      <c r="R19" s="41">
        <f t="shared" si="5"/>
        <v>2579110.6319039455</v>
      </c>
      <c r="S19" s="42">
        <f t="shared" si="0"/>
        <v>477000</v>
      </c>
      <c r="T19" s="43">
        <f t="shared" si="0"/>
        <v>3253061.0127812382</v>
      </c>
      <c r="V19" s="50">
        <f t="shared" ca="1" si="6"/>
        <v>26.842082205554288</v>
      </c>
    </row>
    <row r="20" spans="2:22" x14ac:dyDescent="0.25">
      <c r="B20" s="18" t="s">
        <v>42</v>
      </c>
      <c r="C20" s="1" t="s">
        <v>4</v>
      </c>
      <c r="D20" s="2">
        <v>30576</v>
      </c>
      <c r="E20" s="2">
        <v>43725</v>
      </c>
      <c r="F20" s="20">
        <f t="shared" ca="1" si="1"/>
        <v>5.4512540056911796</v>
      </c>
      <c r="G20" s="20">
        <v>3450000</v>
      </c>
      <c r="H20" s="37">
        <v>0.05</v>
      </c>
      <c r="I20" s="41">
        <v>799252.85289293097</v>
      </c>
      <c r="J20" s="42">
        <v>172500</v>
      </c>
      <c r="K20" s="43">
        <f t="shared" si="2"/>
        <v>1033635.9400610395</v>
      </c>
      <c r="L20" s="41">
        <v>767282.69519897096</v>
      </c>
      <c r="M20" s="42">
        <v>138000</v>
      </c>
      <c r="N20" s="43">
        <f t="shared" si="3"/>
        <v>963740.79383538174</v>
      </c>
      <c r="O20" s="41"/>
      <c r="P20" s="42">
        <v>172500</v>
      </c>
      <c r="Q20" s="43">
        <f t="shared" si="4"/>
        <v>178435.38746560336</v>
      </c>
      <c r="R20" s="41">
        <f t="shared" si="5"/>
        <v>1566535.5480919019</v>
      </c>
      <c r="S20" s="42">
        <f t="shared" si="0"/>
        <v>483000</v>
      </c>
      <c r="T20" s="43">
        <f t="shared" si="0"/>
        <v>2175812.1213620245</v>
      </c>
      <c r="V20" s="50">
        <f t="shared" ca="1" si="6"/>
        <v>41.451254005691183</v>
      </c>
    </row>
    <row r="21" spans="2:22" x14ac:dyDescent="0.25">
      <c r="B21" s="18" t="s">
        <v>43</v>
      </c>
      <c r="C21" s="1" t="s">
        <v>3</v>
      </c>
      <c r="D21" s="2">
        <v>23286</v>
      </c>
      <c r="E21" s="2">
        <v>39722.25</v>
      </c>
      <c r="F21" s="20">
        <f t="shared" ca="1" si="1"/>
        <v>16.410186243884198</v>
      </c>
      <c r="G21" s="20">
        <v>9000000</v>
      </c>
      <c r="H21" s="37">
        <v>0.05</v>
      </c>
      <c r="I21" s="41">
        <v>6276798.9465506012</v>
      </c>
      <c r="J21" s="42">
        <v>450000</v>
      </c>
      <c r="K21" s="43">
        <f t="shared" si="2"/>
        <v>7181658.4922846304</v>
      </c>
      <c r="L21" s="41">
        <v>6025726.8750061793</v>
      </c>
      <c r="M21" s="42">
        <v>360000</v>
      </c>
      <c r="N21" s="43">
        <f t="shared" si="3"/>
        <v>6819914.6518370016</v>
      </c>
      <c r="O21" s="41">
        <v>6276798.9465506012</v>
      </c>
      <c r="P21" s="42">
        <v>450000</v>
      </c>
      <c r="Q21" s="43">
        <f t="shared" si="4"/>
        <v>7181658.4922846304</v>
      </c>
      <c r="R21" s="41">
        <f t="shared" si="5"/>
        <v>18579324.768107381</v>
      </c>
      <c r="S21" s="42">
        <f t="shared" si="0"/>
        <v>1260000</v>
      </c>
      <c r="T21" s="43">
        <f t="shared" si="0"/>
        <v>21183231.636406261</v>
      </c>
      <c r="V21" s="50">
        <f t="shared" ca="1" si="6"/>
        <v>61.410186243884198</v>
      </c>
    </row>
    <row r="22" spans="2:22" x14ac:dyDescent="0.25">
      <c r="B22" s="18" t="s">
        <v>44</v>
      </c>
      <c r="C22" s="1" t="s">
        <v>3</v>
      </c>
      <c r="D22" s="2">
        <v>33905</v>
      </c>
      <c r="E22" s="2">
        <v>33905</v>
      </c>
      <c r="F22" s="20">
        <f t="shared" ca="1" si="1"/>
        <v>32.336948735328413</v>
      </c>
      <c r="G22" s="20">
        <v>2500000</v>
      </c>
      <c r="H22" s="37">
        <v>0.03</v>
      </c>
      <c r="I22" s="44">
        <v>3435774.0970608569</v>
      </c>
      <c r="J22" s="45">
        <v>125000</v>
      </c>
      <c r="K22" s="46">
        <f t="shared" si="2"/>
        <v>3805579.2892649746</v>
      </c>
      <c r="L22" s="44">
        <v>3298343.1015999904</v>
      </c>
      <c r="M22" s="45">
        <v>100000</v>
      </c>
      <c r="N22" s="46">
        <f t="shared" si="3"/>
        <v>3632667.9230398759</v>
      </c>
      <c r="O22" s="44">
        <v>1852848.1585934567</v>
      </c>
      <c r="P22" s="45">
        <v>75000</v>
      </c>
      <c r="Q22" s="46">
        <f t="shared" si="4"/>
        <v>2060128.1329409133</v>
      </c>
      <c r="R22" s="44">
        <f t="shared" si="5"/>
        <v>8586965.357254304</v>
      </c>
      <c r="S22" s="45">
        <f t="shared" si="0"/>
        <v>300000</v>
      </c>
      <c r="T22" s="46">
        <f t="shared" si="0"/>
        <v>9498375.3452457637</v>
      </c>
      <c r="V22" s="50">
        <f t="shared" ca="1" si="6"/>
        <v>32.336948735328413</v>
      </c>
    </row>
    <row r="23" spans="2:22" s="35" customFormat="1" x14ac:dyDescent="0.25">
      <c r="C23" s="36"/>
      <c r="G23" s="35">
        <f>SUM(G13:G22)</f>
        <v>55050000</v>
      </c>
      <c r="H23" s="36"/>
      <c r="I23" s="35">
        <f>SUM(I13:I22)</f>
        <v>26289288.649151266</v>
      </c>
      <c r="J23" s="35">
        <f t="shared" ref="J23:T23" si="7">SUM(J13:J22)</f>
        <v>2752500</v>
      </c>
      <c r="K23" s="35">
        <f t="shared" si="7"/>
        <v>30976746.993716914</v>
      </c>
      <c r="L23" s="35">
        <f t="shared" si="7"/>
        <v>25237716.407827944</v>
      </c>
      <c r="M23" s="35">
        <f t="shared" si="7"/>
        <v>2202000</v>
      </c>
      <c r="N23" s="35">
        <f t="shared" si="7"/>
        <v>29282123.067675952</v>
      </c>
      <c r="O23" s="35">
        <f t="shared" si="7"/>
        <v>21533203.17607462</v>
      </c>
      <c r="P23" s="35">
        <f t="shared" si="7"/>
        <v>2072500</v>
      </c>
      <c r="Q23" s="35">
        <f t="shared" si="7"/>
        <v>25184338.068095282</v>
      </c>
      <c r="R23" s="35">
        <f t="shared" si="7"/>
        <v>73060208.233053833</v>
      </c>
      <c r="S23" s="35">
        <f t="shared" si="7"/>
        <v>7027000</v>
      </c>
      <c r="T23" s="35">
        <f t="shared" si="7"/>
        <v>85443208.12948814</v>
      </c>
    </row>
    <row r="24" spans="2:22" s="17" customFormat="1" x14ac:dyDescent="0.25">
      <c r="C24" s="33"/>
      <c r="H24" s="33"/>
      <c r="T24" s="35"/>
    </row>
    <row r="25" spans="2:22" x14ac:dyDescent="0.25">
      <c r="B25" s="2"/>
    </row>
    <row r="26" spans="2:22" x14ac:dyDescent="0.25">
      <c r="B26" s="2" t="s">
        <v>5</v>
      </c>
      <c r="C26" s="11" t="s">
        <v>0</v>
      </c>
      <c r="L26" s="20"/>
      <c r="M26" s="20"/>
      <c r="N26" s="20"/>
    </row>
    <row r="27" spans="2:22" x14ac:dyDescent="0.25">
      <c r="B27" s="2" t="s">
        <v>13</v>
      </c>
      <c r="C27" s="11" t="s">
        <v>19</v>
      </c>
    </row>
    <row r="28" spans="2:22" x14ac:dyDescent="0.25">
      <c r="B28" s="2" t="s">
        <v>88</v>
      </c>
      <c r="C28" s="11" t="s">
        <v>89</v>
      </c>
    </row>
    <row r="29" spans="2:22" x14ac:dyDescent="0.25">
      <c r="B29" s="2" t="s">
        <v>17</v>
      </c>
      <c r="C29" s="11" t="s">
        <v>18</v>
      </c>
    </row>
    <row r="30" spans="2:22" x14ac:dyDescent="0.25">
      <c r="B30" s="2" t="s">
        <v>81</v>
      </c>
      <c r="C30" s="11" t="s">
        <v>80</v>
      </c>
    </row>
    <row r="31" spans="2:22" x14ac:dyDescent="0.25">
      <c r="B31" s="2" t="s">
        <v>9</v>
      </c>
      <c r="C31" s="11" t="s">
        <v>45</v>
      </c>
    </row>
    <row r="32" spans="2:22" x14ac:dyDescent="0.25">
      <c r="B32" s="2" t="s">
        <v>10</v>
      </c>
      <c r="C32" s="11" t="s">
        <v>46</v>
      </c>
    </row>
    <row r="33" spans="2:3" x14ac:dyDescent="0.25">
      <c r="B33" s="2" t="s">
        <v>11</v>
      </c>
      <c r="C33" s="11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14F9-67AE-4535-970B-440278A824DA}">
  <dimension ref="B3:O29"/>
  <sheetViews>
    <sheetView workbookViewId="0">
      <selection activeCell="I27" sqref="I27"/>
    </sheetView>
  </sheetViews>
  <sheetFormatPr defaultRowHeight="15" x14ac:dyDescent="0.25"/>
  <cols>
    <col min="2" max="2" width="25.85546875" customWidth="1"/>
    <col min="3" max="3" width="10.42578125" customWidth="1"/>
    <col min="4" max="4" width="12.28515625" customWidth="1"/>
    <col min="5" max="5" width="14.140625" customWidth="1"/>
    <col min="6" max="6" width="8" style="1" customWidth="1"/>
    <col min="7" max="7" width="8.5703125" style="1" customWidth="1"/>
    <col min="8" max="8" width="12" customWidth="1"/>
    <col min="10" max="10" width="12.140625" customWidth="1"/>
    <col min="11" max="11" width="11.140625" customWidth="1"/>
    <col min="12" max="12" width="13.85546875" customWidth="1"/>
  </cols>
  <sheetData>
    <row r="3" spans="2:12" x14ac:dyDescent="0.25">
      <c r="E3" s="95" t="s">
        <v>31</v>
      </c>
      <c r="F3" s="12" t="s">
        <v>30</v>
      </c>
    </row>
    <row r="4" spans="2:12" x14ac:dyDescent="0.25">
      <c r="H4" s="92" t="s">
        <v>86</v>
      </c>
    </row>
    <row r="8" spans="2:12" x14ac:dyDescent="0.25">
      <c r="K8" s="92" t="s">
        <v>114</v>
      </c>
    </row>
    <row r="9" spans="2:12" x14ac:dyDescent="0.25">
      <c r="C9" s="1" t="s">
        <v>20</v>
      </c>
      <c r="D9" s="13" t="s">
        <v>5</v>
      </c>
      <c r="E9" s="13" t="s">
        <v>21</v>
      </c>
      <c r="F9" s="1" t="s">
        <v>55</v>
      </c>
      <c r="G9" s="1" t="s">
        <v>53</v>
      </c>
      <c r="H9" s="13" t="s">
        <v>52</v>
      </c>
      <c r="I9" s="13" t="s">
        <v>54</v>
      </c>
      <c r="J9" s="13" t="s">
        <v>22</v>
      </c>
      <c r="K9" s="92" t="s">
        <v>65</v>
      </c>
      <c r="L9" s="13" t="s">
        <v>90</v>
      </c>
    </row>
    <row r="10" spans="2:12" x14ac:dyDescent="0.25">
      <c r="B10" s="18" t="s">
        <v>33</v>
      </c>
      <c r="C10" s="1" t="s">
        <v>3</v>
      </c>
      <c r="D10" s="52">
        <v>14996</v>
      </c>
      <c r="E10" s="52">
        <f>D10+65*365.25</f>
        <v>38737.25</v>
      </c>
      <c r="F10" s="50">
        <f ca="1">(NOW()-D10)/365.25</f>
        <v>84.106969269209316</v>
      </c>
      <c r="G10" s="1" t="s">
        <v>4</v>
      </c>
      <c r="H10" s="2">
        <f>D10+287</f>
        <v>15283</v>
      </c>
      <c r="I10" s="3">
        <f ca="1">IF(ISBLANK(H10),"",(NOW()-H10)/365.25)</f>
        <v>83.321206093302408</v>
      </c>
      <c r="J10" s="20">
        <v>2475589</v>
      </c>
      <c r="K10" s="93">
        <v>7.3314000000000004</v>
      </c>
      <c r="L10" s="20">
        <f>J10*K10</f>
        <v>18149533.194600001</v>
      </c>
    </row>
    <row r="11" spans="2:12" x14ac:dyDescent="0.25">
      <c r="B11" s="18" t="s">
        <v>34</v>
      </c>
      <c r="C11" s="1" t="s">
        <v>4</v>
      </c>
      <c r="D11" s="52">
        <v>15883</v>
      </c>
      <c r="E11" s="52">
        <f t="shared" ref="E11:E13" si="0">D11+65*365.25</f>
        <v>39624.25</v>
      </c>
      <c r="F11" s="50">
        <f ca="1">(NOW()-D11)/365.25</f>
        <v>81.678495621023146</v>
      </c>
      <c r="I11" s="3" t="str">
        <f ca="1">IF(ISBLANK(H11),"",(NOW()-H11)/365.25)</f>
        <v/>
      </c>
      <c r="J11" s="20">
        <v>1939484</v>
      </c>
      <c r="K11" s="94">
        <v>7.476</v>
      </c>
      <c r="L11" s="20">
        <f t="shared" ref="L11:L13" si="1">J11*K11</f>
        <v>14499582.384</v>
      </c>
    </row>
    <row r="12" spans="2:12" x14ac:dyDescent="0.25">
      <c r="B12" s="18" t="s">
        <v>32</v>
      </c>
      <c r="C12" s="1" t="s">
        <v>3</v>
      </c>
      <c r="D12" s="52">
        <v>10849</v>
      </c>
      <c r="E12" s="52">
        <f t="shared" si="0"/>
        <v>34590.25</v>
      </c>
      <c r="F12" s="50">
        <f ca="1">(NOW()-D12)/365.25</f>
        <v>95.460836483446144</v>
      </c>
      <c r="G12" s="1" t="s">
        <v>4</v>
      </c>
      <c r="H12" s="2">
        <v>16501</v>
      </c>
      <c r="I12" s="3">
        <f ca="1">IF(ISBLANK(H12),"",(NOW()-H12)/365.25)</f>
        <v>79.986503834575501</v>
      </c>
      <c r="J12" s="20">
        <v>1602675.7295110582</v>
      </c>
      <c r="K12" s="93">
        <v>5.8929</v>
      </c>
      <c r="L12" s="20">
        <f t="shared" si="1"/>
        <v>9444407.8064357154</v>
      </c>
    </row>
    <row r="13" spans="2:12" x14ac:dyDescent="0.25">
      <c r="B13" s="18" t="s">
        <v>35</v>
      </c>
      <c r="C13" s="1" t="s">
        <v>4</v>
      </c>
      <c r="D13" s="52">
        <v>17743</v>
      </c>
      <c r="E13" s="52">
        <f t="shared" si="0"/>
        <v>41484.25</v>
      </c>
      <c r="F13" s="50">
        <f ca="1">(NOW()-D13)/365.25</f>
        <v>76.586093156957432</v>
      </c>
      <c r="G13" s="1" t="s">
        <v>3</v>
      </c>
      <c r="H13" s="2">
        <f>D13-6*365.25</f>
        <v>15551.5</v>
      </c>
      <c r="I13" s="3">
        <f ca="1">IF(ISBLANK(H13),"",(NOW()-H13)/365.25)</f>
        <v>82.586093156957432</v>
      </c>
      <c r="J13" s="20">
        <v>3395493</v>
      </c>
      <c r="K13" s="94">
        <v>9.7940000000000005</v>
      </c>
      <c r="L13" s="20">
        <f t="shared" si="1"/>
        <v>33255458.442000002</v>
      </c>
    </row>
    <row r="14" spans="2:12" x14ac:dyDescent="0.25">
      <c r="D14" s="2"/>
      <c r="L14" s="35">
        <f>SUM(L10:L13)</f>
        <v>75348981.827035725</v>
      </c>
    </row>
    <row r="19" spans="2:15" x14ac:dyDescent="0.25">
      <c r="O19" s="3"/>
    </row>
    <row r="20" spans="2:15" x14ac:dyDescent="0.25">
      <c r="B20" t="s">
        <v>20</v>
      </c>
      <c r="C20" t="s">
        <v>1</v>
      </c>
    </row>
    <row r="21" spans="2:15" x14ac:dyDescent="0.25">
      <c r="B21" t="s">
        <v>5</v>
      </c>
      <c r="C21" t="s">
        <v>0</v>
      </c>
    </row>
    <row r="22" spans="2:15" x14ac:dyDescent="0.25">
      <c r="B22" t="s">
        <v>21</v>
      </c>
      <c r="C22" t="s">
        <v>2</v>
      </c>
    </row>
    <row r="23" spans="2:15" x14ac:dyDescent="0.25">
      <c r="B23" t="s">
        <v>22</v>
      </c>
      <c r="C23" t="s">
        <v>23</v>
      </c>
    </row>
    <row r="24" spans="2:15" x14ac:dyDescent="0.25">
      <c r="B24" t="s">
        <v>55</v>
      </c>
      <c r="C24" t="s">
        <v>56</v>
      </c>
    </row>
    <row r="25" spans="2:15" x14ac:dyDescent="0.25">
      <c r="B25" t="s">
        <v>53</v>
      </c>
      <c r="C25" t="s">
        <v>57</v>
      </c>
    </row>
    <row r="26" spans="2:15" x14ac:dyDescent="0.25">
      <c r="B26" t="s">
        <v>52</v>
      </c>
      <c r="C26" t="s">
        <v>58</v>
      </c>
    </row>
    <row r="27" spans="2:15" x14ac:dyDescent="0.25">
      <c r="B27" t="s">
        <v>54</v>
      </c>
      <c r="C27" t="s">
        <v>87</v>
      </c>
    </row>
    <row r="28" spans="2:15" x14ac:dyDescent="0.25">
      <c r="B28" t="s">
        <v>65</v>
      </c>
      <c r="C28" t="s">
        <v>64</v>
      </c>
    </row>
    <row r="29" spans="2:15" x14ac:dyDescent="0.25">
      <c r="B29" t="s">
        <v>90</v>
      </c>
      <c r="C29" t="s">
        <v>70</v>
      </c>
    </row>
  </sheetData>
  <hyperlinks>
    <hyperlink ref="F3" r:id="rId1" location="Calculator" xr:uid="{D9996C85-EF4F-4FB7-A107-B5E779AB4A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FFE6-EE5F-4CDA-93E2-1B6DA83E0050}">
  <dimension ref="B3:E18"/>
  <sheetViews>
    <sheetView workbookViewId="0">
      <selection activeCell="C23" sqref="C23"/>
    </sheetView>
  </sheetViews>
  <sheetFormatPr defaultRowHeight="15" x14ac:dyDescent="0.25"/>
  <cols>
    <col min="2" max="2" width="28" customWidth="1"/>
    <col min="3" max="3" width="19.85546875" customWidth="1"/>
    <col min="4" max="4" width="5.28515625" customWidth="1"/>
  </cols>
  <sheetData>
    <row r="3" spans="2:5" x14ac:dyDescent="0.25">
      <c r="B3" s="17" t="s">
        <v>92</v>
      </c>
    </row>
    <row r="5" spans="2:5" x14ac:dyDescent="0.25">
      <c r="B5" t="s">
        <v>26</v>
      </c>
      <c r="C5" s="48">
        <v>13549939</v>
      </c>
      <c r="E5" s="53">
        <f>C5/$C$12</f>
        <v>8.0962677214878292E-2</v>
      </c>
    </row>
    <row r="6" spans="2:5" x14ac:dyDescent="0.25">
      <c r="B6" t="s">
        <v>27</v>
      </c>
      <c r="C6" s="48">
        <v>10845563</v>
      </c>
      <c r="E6" s="53">
        <f t="shared" ref="E6:E11" si="0">C6/$C$12</f>
        <v>6.480367301894327E-2</v>
      </c>
    </row>
    <row r="7" spans="2:5" x14ac:dyDescent="0.25">
      <c r="B7" t="s">
        <v>28</v>
      </c>
      <c r="C7" s="48">
        <v>102948373</v>
      </c>
      <c r="E7" s="53">
        <f t="shared" si="0"/>
        <v>0.61513014139738131</v>
      </c>
    </row>
    <row r="8" spans="2:5" x14ac:dyDescent="0.25">
      <c r="B8" t="s">
        <v>29</v>
      </c>
      <c r="C8" s="48">
        <v>0</v>
      </c>
      <c r="E8" s="53">
        <f t="shared" si="0"/>
        <v>0</v>
      </c>
    </row>
    <row r="9" spans="2:5" x14ac:dyDescent="0.25">
      <c r="B9" t="s">
        <v>25</v>
      </c>
      <c r="C9" s="48">
        <v>13748484</v>
      </c>
      <c r="E9" s="53">
        <f t="shared" si="0"/>
        <v>8.2149009843211759E-2</v>
      </c>
    </row>
    <row r="10" spans="2:5" x14ac:dyDescent="0.25">
      <c r="B10" t="s">
        <v>15</v>
      </c>
      <c r="C10" s="48">
        <v>22747954</v>
      </c>
      <c r="E10" s="53">
        <f t="shared" si="0"/>
        <v>0.13592203308080572</v>
      </c>
    </row>
    <row r="11" spans="2:5" ht="15.75" thickBot="1" x14ac:dyDescent="0.3">
      <c r="B11" s="15" t="s">
        <v>14</v>
      </c>
      <c r="C11" s="49">
        <v>3520000</v>
      </c>
      <c r="E11" s="53">
        <f t="shared" si="0"/>
        <v>2.1032465444779613E-2</v>
      </c>
    </row>
    <row r="12" spans="2:5" ht="15.75" thickTop="1" x14ac:dyDescent="0.25">
      <c r="B12" t="s">
        <v>48</v>
      </c>
      <c r="C12" s="48">
        <f>SUM(C5:C11)</f>
        <v>167360313</v>
      </c>
      <c r="E12" s="54">
        <f>SUM(E5:E11)</f>
        <v>1</v>
      </c>
    </row>
    <row r="15" spans="2:5" x14ac:dyDescent="0.25">
      <c r="B15" t="s">
        <v>49</v>
      </c>
      <c r="C15" s="16">
        <v>5.4300000000000001E-2</v>
      </c>
    </row>
    <row r="18" spans="3:3" x14ac:dyDescent="0.25">
      <c r="C1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C1F0-3CBE-489F-A3ED-DA3BF1A3A3CF}">
  <dimension ref="B6:C18"/>
  <sheetViews>
    <sheetView workbookViewId="0"/>
  </sheetViews>
  <sheetFormatPr defaultRowHeight="15" x14ac:dyDescent="0.25"/>
  <cols>
    <col min="2" max="2" width="33.7109375" customWidth="1"/>
    <col min="3" max="3" width="16.7109375" customWidth="1"/>
  </cols>
  <sheetData>
    <row r="6" spans="2:3" x14ac:dyDescent="0.25">
      <c r="B6" s="17" t="s">
        <v>93</v>
      </c>
    </row>
    <row r="7" spans="2:3" x14ac:dyDescent="0.25">
      <c r="B7" t="s">
        <v>76</v>
      </c>
      <c r="C7" s="20">
        <f>'Active Plan Members'!K23</f>
        <v>30976746.993716914</v>
      </c>
    </row>
    <row r="8" spans="2:3" x14ac:dyDescent="0.25">
      <c r="B8" t="s">
        <v>77</v>
      </c>
      <c r="C8" s="20">
        <f>'Active Plan Members'!Q23</f>
        <v>25184338.068095282</v>
      </c>
    </row>
    <row r="9" spans="2:3" x14ac:dyDescent="0.25">
      <c r="B9" t="s">
        <v>79</v>
      </c>
      <c r="C9" s="20">
        <f>'Active Plan Members'!N13+SUM('Active Plan Members'!N15:N16)+SUM('Active Plan Members'!N21:N22)</f>
        <v>24300547.850302044</v>
      </c>
    </row>
    <row r="10" spans="2:3" ht="15.75" thickBot="1" x14ac:dyDescent="0.3">
      <c r="B10" s="15" t="s">
        <v>78</v>
      </c>
      <c r="C10" s="47">
        <f>Pensioners!L14</f>
        <v>75348981.827035725</v>
      </c>
    </row>
    <row r="11" spans="2:3" ht="15.75" thickTop="1" x14ac:dyDescent="0.25">
      <c r="C11" s="20">
        <f>SUM(C7:C10)</f>
        <v>155810614.73914996</v>
      </c>
    </row>
    <row r="14" spans="2:3" x14ac:dyDescent="0.25">
      <c r="B14" s="17" t="s">
        <v>92</v>
      </c>
      <c r="C14" s="20">
        <f>Assets!C12</f>
        <v>167360313</v>
      </c>
    </row>
    <row r="18" spans="2:3" x14ac:dyDescent="0.25">
      <c r="B18" s="17" t="s">
        <v>94</v>
      </c>
      <c r="C18" s="55">
        <f>C14/C11</f>
        <v>1.0741265175045098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93FA-F8E8-4F6A-9B66-2A24488AA49C}">
  <dimension ref="B3:L29"/>
  <sheetViews>
    <sheetView topLeftCell="A3" zoomScale="110" zoomScaleNormal="110" workbookViewId="0">
      <selection activeCell="A4" sqref="A4"/>
    </sheetView>
  </sheetViews>
  <sheetFormatPr defaultRowHeight="15" x14ac:dyDescent="0.25"/>
  <cols>
    <col min="1" max="1" width="12" customWidth="1"/>
    <col min="2" max="2" width="8.85546875" customWidth="1"/>
    <col min="3" max="5" width="17.140625" customWidth="1"/>
    <col min="8" max="8" width="9.5703125" customWidth="1"/>
    <col min="9" max="9" width="11.7109375" customWidth="1"/>
    <col min="10" max="10" width="17.140625" customWidth="1"/>
    <col min="12" max="12" width="14" bestFit="1" customWidth="1"/>
    <col min="13" max="13" width="27.5703125" bestFit="1" customWidth="1"/>
  </cols>
  <sheetData>
    <row r="3" spans="2:11" ht="15.75" x14ac:dyDescent="0.25">
      <c r="B3" s="62"/>
      <c r="C3" s="62" t="s">
        <v>91</v>
      </c>
      <c r="K3" s="12"/>
    </row>
    <row r="4" spans="2:11" x14ac:dyDescent="0.25">
      <c r="K4" s="17"/>
    </row>
    <row r="5" spans="2:11" x14ac:dyDescent="0.25">
      <c r="C5" s="51" t="s">
        <v>31</v>
      </c>
      <c r="D5" s="17"/>
      <c r="E5" s="17"/>
      <c r="F5" s="12" t="s">
        <v>30</v>
      </c>
      <c r="G5" s="17"/>
    </row>
    <row r="6" spans="2:11" x14ac:dyDescent="0.25">
      <c r="C6" t="s">
        <v>110</v>
      </c>
      <c r="D6" s="17"/>
      <c r="E6" s="17"/>
      <c r="F6" s="17"/>
      <c r="G6" s="17"/>
    </row>
    <row r="11" spans="2:11" x14ac:dyDescent="0.25">
      <c r="C11" s="73" t="s">
        <v>103</v>
      </c>
      <c r="D11" s="83" t="s">
        <v>43</v>
      </c>
      <c r="I11" s="73"/>
      <c r="J11" s="76" t="s">
        <v>107</v>
      </c>
    </row>
    <row r="12" spans="2:11" x14ac:dyDescent="0.25">
      <c r="C12" s="7" t="s">
        <v>20</v>
      </c>
      <c r="D12" s="84" t="s">
        <v>3</v>
      </c>
      <c r="I12" s="77">
        <v>0.04</v>
      </c>
      <c r="J12" s="78">
        <v>13.4351</v>
      </c>
    </row>
    <row r="13" spans="2:11" x14ac:dyDescent="0.25">
      <c r="C13" s="7" t="s">
        <v>5</v>
      </c>
      <c r="D13" s="85">
        <v>23286</v>
      </c>
      <c r="I13" s="77">
        <v>0.05</v>
      </c>
      <c r="J13" s="78">
        <v>12.265000000000001</v>
      </c>
    </row>
    <row r="14" spans="2:11" x14ac:dyDescent="0.25">
      <c r="C14" s="7" t="s">
        <v>55</v>
      </c>
      <c r="D14" s="86">
        <f ca="1">(NOW()-D13)/365.25</f>
        <v>61.410186243884198</v>
      </c>
      <c r="E14" s="2"/>
      <c r="F14" s="3"/>
      <c r="I14" s="77">
        <v>0.06</v>
      </c>
      <c r="J14" s="78">
        <v>11.26</v>
      </c>
    </row>
    <row r="15" spans="2:11" x14ac:dyDescent="0.25">
      <c r="C15" s="9" t="s">
        <v>104</v>
      </c>
      <c r="D15" s="82">
        <f>'Active Plan Members'!G21</f>
        <v>9000000</v>
      </c>
      <c r="I15" s="77">
        <v>7.0000000000000007E-2</v>
      </c>
      <c r="J15" s="8">
        <v>10.391299999999999</v>
      </c>
    </row>
    <row r="16" spans="2:11" x14ac:dyDescent="0.25">
      <c r="I16" s="77">
        <v>0.08</v>
      </c>
      <c r="J16" s="78">
        <v>9.6356000000000002</v>
      </c>
    </row>
    <row r="17" spans="2:12" x14ac:dyDescent="0.25">
      <c r="I17" s="77">
        <v>0.09</v>
      </c>
      <c r="J17" s="78">
        <v>8.9743999999999993</v>
      </c>
    </row>
    <row r="18" spans="2:12" x14ac:dyDescent="0.25">
      <c r="C18" s="14" t="s">
        <v>112</v>
      </c>
      <c r="D18" s="88">
        <v>0.15</v>
      </c>
      <c r="I18" s="79">
        <v>0.1</v>
      </c>
      <c r="J18" s="80">
        <v>8.3981999999999992</v>
      </c>
    </row>
    <row r="19" spans="2:12" x14ac:dyDescent="0.25">
      <c r="H19" s="21"/>
      <c r="I19" s="21"/>
      <c r="J19" s="21"/>
      <c r="K19" s="21"/>
      <c r="L19" s="21"/>
    </row>
    <row r="20" spans="2:12" x14ac:dyDescent="0.25">
      <c r="H20" s="21"/>
      <c r="I20" s="19"/>
    </row>
    <row r="21" spans="2:12" x14ac:dyDescent="0.25">
      <c r="B21" s="33"/>
    </row>
    <row r="22" spans="2:12" x14ac:dyDescent="0.25">
      <c r="B22" s="33"/>
      <c r="C22" s="17" t="s">
        <v>106</v>
      </c>
      <c r="D22" s="17"/>
    </row>
    <row r="23" spans="2:12" x14ac:dyDescent="0.25">
      <c r="B23" s="33" t="s">
        <v>51</v>
      </c>
      <c r="C23" s="89" t="s">
        <v>9</v>
      </c>
      <c r="D23" s="89" t="s">
        <v>105</v>
      </c>
      <c r="E23" s="89" t="s">
        <v>71</v>
      </c>
      <c r="H23" s="51" t="s">
        <v>111</v>
      </c>
    </row>
    <row r="24" spans="2:12" x14ac:dyDescent="0.25">
      <c r="B24" s="33"/>
      <c r="C24" s="73"/>
      <c r="D24" s="5"/>
      <c r="E24" s="74">
        <f>'Active Plan Members'!T22</f>
        <v>9498375.3452457637</v>
      </c>
      <c r="H24" s="73"/>
      <c r="I24" s="32"/>
      <c r="J24" s="6"/>
    </row>
    <row r="25" spans="2:12" x14ac:dyDescent="0.25">
      <c r="B25" s="72">
        <f ca="1">D14</f>
        <v>61.410186243884198</v>
      </c>
      <c r="C25" s="22">
        <f>E24</f>
        <v>9498375.3452457637</v>
      </c>
      <c r="D25" s="71">
        <f>$D$15*$D$18</f>
        <v>1350000</v>
      </c>
      <c r="E25" s="43">
        <f>C25*(1+$J$25)+D25*(1+$J$25)^0.5</f>
        <v>11458187.934993755</v>
      </c>
      <c r="H25" s="7"/>
      <c r="I25" s="81" t="s">
        <v>108</v>
      </c>
      <c r="J25" s="87">
        <v>0.06</v>
      </c>
    </row>
    <row r="26" spans="2:12" x14ac:dyDescent="0.25">
      <c r="B26" s="72">
        <f ca="1">B25+1</f>
        <v>62.410186243884198</v>
      </c>
      <c r="C26" s="22">
        <f t="shared" ref="C26:C29" si="0">E25</f>
        <v>11458187.934993755</v>
      </c>
      <c r="D26" s="71">
        <f>$D$15*$D$18</f>
        <v>1350000</v>
      </c>
      <c r="E26" s="43">
        <f t="shared" ref="E26:E29" si="1">C26*(1+$J$25)+D26*(1+$J$25)^0.5</f>
        <v>13535589.280126626</v>
      </c>
      <c r="H26" s="7"/>
      <c r="I26" s="81" t="s">
        <v>109</v>
      </c>
      <c r="J26" s="43">
        <f>E29</f>
        <v>20546021.097833537</v>
      </c>
    </row>
    <row r="27" spans="2:12" x14ac:dyDescent="0.25">
      <c r="B27" s="72">
        <f t="shared" ref="B27:B29" ca="1" si="2">B26+1</f>
        <v>63.410186243884198</v>
      </c>
      <c r="C27" s="22">
        <f t="shared" si="0"/>
        <v>13535589.280126626</v>
      </c>
      <c r="D27" s="71">
        <f>$D$15*$D$18</f>
        <v>1350000</v>
      </c>
      <c r="E27" s="43">
        <f t="shared" si="1"/>
        <v>15737634.705967469</v>
      </c>
      <c r="H27" s="7"/>
      <c r="I27" s="81" t="s">
        <v>64</v>
      </c>
      <c r="J27" s="78">
        <f>VLOOKUP(J25,I12:J19,2,FALSE)</f>
        <v>11.26</v>
      </c>
    </row>
    <row r="28" spans="2:12" x14ac:dyDescent="0.25">
      <c r="B28" s="72">
        <f t="shared" ca="1" si="2"/>
        <v>64.410186243884198</v>
      </c>
      <c r="C28" s="22">
        <f t="shared" si="0"/>
        <v>15737634.705967469</v>
      </c>
      <c r="D28" s="71">
        <f>$D$15*$D$18</f>
        <v>1350000</v>
      </c>
      <c r="E28" s="43">
        <f t="shared" si="1"/>
        <v>18071802.857358765</v>
      </c>
      <c r="H28" s="7"/>
      <c r="I28" s="81"/>
      <c r="J28" s="8"/>
    </row>
    <row r="29" spans="2:12" x14ac:dyDescent="0.25">
      <c r="B29" s="72">
        <f t="shared" ca="1" si="2"/>
        <v>65.410186243884198</v>
      </c>
      <c r="C29" s="24">
        <f t="shared" si="0"/>
        <v>18071802.857358765</v>
      </c>
      <c r="D29" s="75">
        <f>$D$15*$D$18</f>
        <v>1350000</v>
      </c>
      <c r="E29" s="46">
        <f t="shared" si="1"/>
        <v>20546021.097833537</v>
      </c>
      <c r="H29" s="9"/>
      <c r="I29" s="30" t="s">
        <v>23</v>
      </c>
      <c r="J29" s="82">
        <f>J26/J27</f>
        <v>1824691.0388839731</v>
      </c>
    </row>
  </sheetData>
  <dataValidations count="1">
    <dataValidation type="list" allowBlank="1" showInputMessage="1" showErrorMessage="1" sqref="J25" xr:uid="{CCD86034-E5FC-402F-8B1D-D2A06468EA02}">
      <formula1>$I$12:$I$18</formula1>
    </dataValidation>
  </dataValidations>
  <hyperlinks>
    <hyperlink ref="F5" r:id="rId1" location="Calculator" xr:uid="{159F0601-95D6-4696-A116-3BC4B8BB683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4C87-D490-4BAD-A658-0E024BED852E}">
  <dimension ref="B3:O44"/>
  <sheetViews>
    <sheetView workbookViewId="0">
      <selection activeCell="R23" sqref="R23"/>
    </sheetView>
  </sheetViews>
  <sheetFormatPr defaultRowHeight="15" x14ac:dyDescent="0.25"/>
  <cols>
    <col min="1" max="1" width="12" customWidth="1"/>
    <col min="2" max="2" width="18" customWidth="1"/>
    <col min="3" max="3" width="25.5703125" customWidth="1"/>
    <col min="4" max="4" width="14.28515625" customWidth="1"/>
    <col min="5" max="5" width="10.85546875" customWidth="1"/>
    <col min="9" max="9" width="9.140625" style="33"/>
    <col min="10" max="11" width="15.5703125" customWidth="1"/>
    <col min="13" max="13" width="8.5703125" customWidth="1"/>
  </cols>
  <sheetData>
    <row r="3" spans="2:15" ht="15.75" x14ac:dyDescent="0.25">
      <c r="B3" s="62" t="s">
        <v>91</v>
      </c>
      <c r="G3" s="96" t="s">
        <v>31</v>
      </c>
      <c r="H3" s="17"/>
      <c r="I3"/>
      <c r="K3" s="12" t="s">
        <v>30</v>
      </c>
    </row>
    <row r="4" spans="2:15" x14ac:dyDescent="0.25">
      <c r="G4" s="93" t="s">
        <v>110</v>
      </c>
      <c r="H4" s="17"/>
      <c r="I4"/>
    </row>
    <row r="8" spans="2:15" x14ac:dyDescent="0.25">
      <c r="J8" s="17" t="s">
        <v>95</v>
      </c>
    </row>
    <row r="9" spans="2:15" x14ac:dyDescent="0.25">
      <c r="J9" s="17" t="s">
        <v>96</v>
      </c>
      <c r="K9" s="17"/>
    </row>
    <row r="10" spans="2:15" x14ac:dyDescent="0.25">
      <c r="I10" s="33" t="s">
        <v>51</v>
      </c>
      <c r="J10" s="59" t="s">
        <v>9</v>
      </c>
      <c r="K10" s="59" t="s">
        <v>71</v>
      </c>
      <c r="M10" s="13" t="s">
        <v>75</v>
      </c>
    </row>
    <row r="11" spans="2:15" hidden="1" x14ac:dyDescent="0.25">
      <c r="J11" s="7"/>
      <c r="K11" s="34">
        <f>D21</f>
        <v>15609100</v>
      </c>
      <c r="M11" s="13"/>
    </row>
    <row r="12" spans="2:15" x14ac:dyDescent="0.25">
      <c r="B12" t="s">
        <v>61</v>
      </c>
      <c r="C12" s="18" t="s">
        <v>32</v>
      </c>
      <c r="D12" s="1" t="s">
        <v>3</v>
      </c>
      <c r="E12" s="2">
        <v>10849</v>
      </c>
      <c r="F12" s="3">
        <f ca="1">(NOW()-E12)/365.25</f>
        <v>95.460836483446144</v>
      </c>
      <c r="I12" s="33">
        <v>65</v>
      </c>
      <c r="J12" s="22">
        <f>K11</f>
        <v>15609100</v>
      </c>
      <c r="K12" s="23">
        <f>(J12-$D$23)*(1+M12)</f>
        <v>15407066.697537838</v>
      </c>
      <c r="M12" s="21">
        <v>0.1</v>
      </c>
      <c r="O12" s="21"/>
    </row>
    <row r="13" spans="2:15" x14ac:dyDescent="0.25">
      <c r="B13" t="s">
        <v>62</v>
      </c>
      <c r="C13" t="s">
        <v>63</v>
      </c>
      <c r="D13" s="1" t="s">
        <v>4</v>
      </c>
      <c r="E13" s="2">
        <v>16501</v>
      </c>
      <c r="F13" s="3">
        <f ca="1">(NOW()-E13)/365.25</f>
        <v>79.986503834575501</v>
      </c>
      <c r="I13" s="33">
        <v>66</v>
      </c>
      <c r="J13" s="22">
        <f t="shared" ref="J13:J42" si="0">K12</f>
        <v>15407066.697537838</v>
      </c>
      <c r="K13" s="23">
        <f t="shared" ref="K13:K42" si="1">(J13-$D$23)*(1+M13)</f>
        <v>15184830.064829459</v>
      </c>
      <c r="M13" s="21">
        <f>M12</f>
        <v>0.1</v>
      </c>
      <c r="O13" s="21"/>
    </row>
    <row r="14" spans="2:15" x14ac:dyDescent="0.25">
      <c r="I14" s="33">
        <v>67</v>
      </c>
      <c r="J14" s="22">
        <f t="shared" si="0"/>
        <v>15184830.064829459</v>
      </c>
      <c r="K14" s="23">
        <f t="shared" si="1"/>
        <v>14940369.768850243</v>
      </c>
      <c r="M14" s="21">
        <f t="shared" ref="M14:M42" si="2">M13</f>
        <v>0.1</v>
      </c>
      <c r="O14" s="21"/>
    </row>
    <row r="15" spans="2:15" x14ac:dyDescent="0.25">
      <c r="I15" s="33">
        <v>68</v>
      </c>
      <c r="J15" s="22">
        <f t="shared" si="0"/>
        <v>14940369.768850243</v>
      </c>
      <c r="K15" s="23">
        <f t="shared" si="1"/>
        <v>14671463.443273105</v>
      </c>
      <c r="M15" s="21">
        <f t="shared" si="2"/>
        <v>0.1</v>
      </c>
      <c r="O15" s="21"/>
    </row>
    <row r="16" spans="2:15" x14ac:dyDescent="0.25">
      <c r="I16" s="33">
        <v>69</v>
      </c>
      <c r="J16" s="22">
        <f t="shared" si="0"/>
        <v>14671463.443273105</v>
      </c>
      <c r="K16" s="23">
        <f t="shared" si="1"/>
        <v>14375666.485138252</v>
      </c>
      <c r="M16" s="21">
        <f t="shared" si="2"/>
        <v>0.1</v>
      </c>
      <c r="O16" s="21"/>
    </row>
    <row r="17" spans="2:15" ht="15.75" x14ac:dyDescent="0.25">
      <c r="B17" s="61" t="s">
        <v>50</v>
      </c>
      <c r="C17" s="32" t="s">
        <v>59</v>
      </c>
      <c r="D17" s="27">
        <f>E12+D18*365.25</f>
        <v>34590.25</v>
      </c>
      <c r="E17" s="6"/>
      <c r="I17" s="33">
        <v>70</v>
      </c>
      <c r="J17" s="22">
        <f t="shared" si="0"/>
        <v>14375666.485138252</v>
      </c>
      <c r="K17" s="23">
        <f t="shared" si="1"/>
        <v>14050289.831189916</v>
      </c>
      <c r="M17" s="21">
        <f t="shared" si="2"/>
        <v>0.1</v>
      </c>
      <c r="O17" s="21"/>
    </row>
    <row r="18" spans="2:15" x14ac:dyDescent="0.25">
      <c r="B18" s="7"/>
      <c r="C18" s="13" t="s">
        <v>51</v>
      </c>
      <c r="D18">
        <v>65</v>
      </c>
      <c r="E18" s="8"/>
      <c r="I18" s="33">
        <v>71</v>
      </c>
      <c r="J18" s="22">
        <f t="shared" si="0"/>
        <v>14050289.831189916</v>
      </c>
      <c r="K18" s="23">
        <f t="shared" si="1"/>
        <v>13692375.511846744</v>
      </c>
      <c r="M18" s="21">
        <f t="shared" si="2"/>
        <v>0.1</v>
      </c>
      <c r="O18" s="21"/>
    </row>
    <row r="19" spans="2:15" x14ac:dyDescent="0.25">
      <c r="B19" s="7"/>
      <c r="C19" s="13" t="s">
        <v>60</v>
      </c>
      <c r="D19" s="3">
        <f>(D17-E13)/365.25</f>
        <v>49.525667351129364</v>
      </c>
      <c r="E19" s="8"/>
      <c r="I19" s="33">
        <v>72</v>
      </c>
      <c r="J19" s="22">
        <f t="shared" si="0"/>
        <v>13692375.511846744</v>
      </c>
      <c r="K19" s="23">
        <f t="shared" si="1"/>
        <v>13298669.760569256</v>
      </c>
      <c r="M19" s="21">
        <f t="shared" si="2"/>
        <v>0.1</v>
      </c>
      <c r="O19" s="21"/>
    </row>
    <row r="20" spans="2:15" x14ac:dyDescent="0.25">
      <c r="B20" s="7"/>
      <c r="E20" s="8"/>
      <c r="I20" s="33">
        <v>73</v>
      </c>
      <c r="J20" s="22">
        <f t="shared" si="0"/>
        <v>13298669.760569256</v>
      </c>
      <c r="K20" s="23">
        <f t="shared" si="1"/>
        <v>12865593.434164019</v>
      </c>
      <c r="M20" s="21">
        <f t="shared" si="2"/>
        <v>0.1</v>
      </c>
      <c r="O20" s="21"/>
    </row>
    <row r="21" spans="2:15" x14ac:dyDescent="0.25">
      <c r="B21" s="7"/>
      <c r="C21" s="13" t="s">
        <v>67</v>
      </c>
      <c r="D21" s="20">
        <v>15609100</v>
      </c>
      <c r="E21" s="8"/>
      <c r="I21" s="33">
        <v>74</v>
      </c>
      <c r="J21" s="22">
        <f t="shared" si="0"/>
        <v>12865593.434164019</v>
      </c>
      <c r="K21" s="23">
        <f t="shared" si="1"/>
        <v>12389209.475118259</v>
      </c>
      <c r="M21" s="21">
        <f t="shared" si="2"/>
        <v>0.1</v>
      </c>
      <c r="O21" s="21"/>
    </row>
    <row r="22" spans="2:15" x14ac:dyDescent="0.25">
      <c r="B22" s="7"/>
      <c r="C22" s="13" t="s">
        <v>64</v>
      </c>
      <c r="D22">
        <v>9.7393999999999998</v>
      </c>
      <c r="E22" s="28" t="s">
        <v>68</v>
      </c>
      <c r="I22" s="33">
        <v>75</v>
      </c>
      <c r="J22" s="22">
        <f t="shared" si="0"/>
        <v>12389209.475118259</v>
      </c>
      <c r="K22" s="23">
        <f t="shared" si="1"/>
        <v>11865187.120167922</v>
      </c>
      <c r="M22" s="21">
        <f t="shared" si="2"/>
        <v>0.1</v>
      </c>
      <c r="O22" s="21"/>
    </row>
    <row r="23" spans="2:15" x14ac:dyDescent="0.25">
      <c r="B23" s="7"/>
      <c r="C23" s="13" t="s">
        <v>23</v>
      </c>
      <c r="D23" s="20">
        <f>D21/D22</f>
        <v>1602675.7295110582</v>
      </c>
      <c r="E23" s="29"/>
      <c r="I23" s="33">
        <v>76</v>
      </c>
      <c r="J23" s="22">
        <f t="shared" si="0"/>
        <v>11865187.120167922</v>
      </c>
      <c r="K23" s="23">
        <f t="shared" si="1"/>
        <v>11288762.529722551</v>
      </c>
      <c r="M23" s="21">
        <f t="shared" si="2"/>
        <v>0.1</v>
      </c>
      <c r="O23" s="21"/>
    </row>
    <row r="24" spans="2:15" x14ac:dyDescent="0.25">
      <c r="B24" s="7"/>
      <c r="C24" s="13" t="s">
        <v>72</v>
      </c>
      <c r="D24" s="20">
        <v>22</v>
      </c>
      <c r="E24" s="29"/>
      <c r="I24" s="33">
        <v>77</v>
      </c>
      <c r="J24" s="22">
        <f t="shared" si="0"/>
        <v>11288762.529722551</v>
      </c>
      <c r="K24" s="23">
        <f t="shared" si="1"/>
        <v>10654695.480232643</v>
      </c>
      <c r="M24" s="21">
        <f t="shared" si="2"/>
        <v>0.1</v>
      </c>
      <c r="O24" s="21"/>
    </row>
    <row r="25" spans="2:15" x14ac:dyDescent="0.25">
      <c r="B25" s="9"/>
      <c r="C25" s="30"/>
      <c r="D25" s="10"/>
      <c r="E25" s="31"/>
      <c r="I25" s="33">
        <v>78</v>
      </c>
      <c r="J25" s="22">
        <f t="shared" si="0"/>
        <v>10654695.480232643</v>
      </c>
      <c r="K25" s="23">
        <f t="shared" si="1"/>
        <v>9957221.7257937435</v>
      </c>
      <c r="M25" s="21">
        <f t="shared" si="2"/>
        <v>0.1</v>
      </c>
      <c r="O25" s="21"/>
    </row>
    <row r="26" spans="2:15" x14ac:dyDescent="0.25">
      <c r="E26" s="1"/>
      <c r="I26" s="33">
        <v>79</v>
      </c>
      <c r="J26" s="22">
        <f t="shared" si="0"/>
        <v>9957221.7257937435</v>
      </c>
      <c r="K26" s="23">
        <f t="shared" si="1"/>
        <v>9190000.5959109552</v>
      </c>
      <c r="M26" s="21">
        <f t="shared" si="2"/>
        <v>0.1</v>
      </c>
      <c r="O26" s="21"/>
    </row>
    <row r="27" spans="2:15" x14ac:dyDescent="0.25">
      <c r="I27" s="33">
        <v>80</v>
      </c>
      <c r="J27" s="22">
        <f t="shared" si="0"/>
        <v>9190000.5959109552</v>
      </c>
      <c r="K27" s="23">
        <f t="shared" si="1"/>
        <v>8346057.3530398877</v>
      </c>
      <c r="M27" s="21">
        <f t="shared" si="2"/>
        <v>0.1</v>
      </c>
      <c r="O27" s="21"/>
    </row>
    <row r="28" spans="2:15" ht="15.75" x14ac:dyDescent="0.25">
      <c r="B28" s="97" t="s">
        <v>66</v>
      </c>
      <c r="C28" s="98" t="s">
        <v>64</v>
      </c>
      <c r="D28" s="99">
        <v>5.8929</v>
      </c>
      <c r="E28" s="100" t="s">
        <v>69</v>
      </c>
      <c r="I28" s="33">
        <v>81</v>
      </c>
      <c r="J28" s="22">
        <f t="shared" si="0"/>
        <v>8346057.3530398877</v>
      </c>
      <c r="K28" s="23">
        <f t="shared" si="1"/>
        <v>7417719.785881713</v>
      </c>
      <c r="M28" s="21">
        <f t="shared" si="2"/>
        <v>0.1</v>
      </c>
      <c r="O28" s="21"/>
    </row>
    <row r="29" spans="2:15" x14ac:dyDescent="0.25">
      <c r="B29" s="101"/>
      <c r="C29" s="102" t="s">
        <v>113</v>
      </c>
      <c r="D29" s="103">
        <f>D23*D28</f>
        <v>9444407.8064357154</v>
      </c>
      <c r="E29" s="104"/>
      <c r="I29" s="33">
        <v>82</v>
      </c>
      <c r="J29" s="22">
        <f t="shared" si="0"/>
        <v>7417719.785881713</v>
      </c>
      <c r="K29" s="23">
        <f t="shared" si="1"/>
        <v>6396548.462007721</v>
      </c>
      <c r="M29" s="21">
        <f t="shared" si="2"/>
        <v>0.1</v>
      </c>
      <c r="O29" s="21"/>
    </row>
    <row r="30" spans="2:15" x14ac:dyDescent="0.25">
      <c r="B30" s="101"/>
      <c r="C30" s="105"/>
      <c r="D30" s="103"/>
      <c r="E30" s="104"/>
      <c r="I30" s="33">
        <v>83</v>
      </c>
      <c r="J30" s="22">
        <f t="shared" si="0"/>
        <v>6396548.462007721</v>
      </c>
      <c r="K30" s="23">
        <f t="shared" si="1"/>
        <v>5273260.0057463301</v>
      </c>
      <c r="M30" s="21">
        <f t="shared" si="2"/>
        <v>0.1</v>
      </c>
      <c r="O30" s="21"/>
    </row>
    <row r="31" spans="2:15" x14ac:dyDescent="0.25">
      <c r="B31" s="101"/>
      <c r="C31" s="102" t="s">
        <v>74</v>
      </c>
      <c r="D31" s="106">
        <f ca="1">F12-D18</f>
        <v>30.460836483446144</v>
      </c>
      <c r="E31" s="107"/>
      <c r="I31" s="33">
        <v>84</v>
      </c>
      <c r="J31" s="22">
        <f t="shared" si="0"/>
        <v>5273260.0057463301</v>
      </c>
      <c r="K31" s="23">
        <f t="shared" si="1"/>
        <v>4037642.7038587998</v>
      </c>
      <c r="M31" s="21">
        <f t="shared" si="2"/>
        <v>0.1</v>
      </c>
      <c r="O31" s="21"/>
    </row>
    <row r="32" spans="2:15" x14ac:dyDescent="0.25">
      <c r="B32" s="101"/>
      <c r="C32" s="102" t="s">
        <v>73</v>
      </c>
      <c r="D32" s="103">
        <f ca="1">D23*D31</f>
        <v>48818843.332624108</v>
      </c>
      <c r="E32" s="107"/>
      <c r="I32" s="33">
        <v>85</v>
      </c>
      <c r="J32" s="22">
        <f t="shared" si="0"/>
        <v>4037642.7038587998</v>
      </c>
      <c r="K32" s="23">
        <f t="shared" si="1"/>
        <v>2678463.6717825155</v>
      </c>
      <c r="M32" s="21">
        <f t="shared" si="2"/>
        <v>0.1</v>
      </c>
      <c r="O32" s="21"/>
    </row>
    <row r="33" spans="2:15" x14ac:dyDescent="0.25">
      <c r="B33" s="108"/>
      <c r="C33" s="109"/>
      <c r="D33" s="109"/>
      <c r="E33" s="110"/>
      <c r="I33" s="33">
        <v>86</v>
      </c>
      <c r="J33" s="22">
        <f t="shared" si="0"/>
        <v>2678463.6717825155</v>
      </c>
      <c r="K33" s="23">
        <f t="shared" si="1"/>
        <v>1183366.7364986031</v>
      </c>
      <c r="M33" s="21">
        <f t="shared" si="2"/>
        <v>0.1</v>
      </c>
      <c r="O33" s="21"/>
    </row>
    <row r="34" spans="2:15" x14ac:dyDescent="0.25">
      <c r="I34" s="33">
        <v>87</v>
      </c>
      <c r="J34" s="22">
        <f t="shared" si="0"/>
        <v>1183366.7364986031</v>
      </c>
      <c r="K34" s="23">
        <f t="shared" si="1"/>
        <v>-461239.89231370058</v>
      </c>
      <c r="M34" s="21">
        <f t="shared" si="2"/>
        <v>0.1</v>
      </c>
      <c r="O34" s="21"/>
    </row>
    <row r="35" spans="2:15" x14ac:dyDescent="0.25">
      <c r="I35" s="33">
        <v>88</v>
      </c>
      <c r="J35" s="22">
        <f t="shared" si="0"/>
        <v>-461239.89231370058</v>
      </c>
      <c r="K35" s="23">
        <f t="shared" si="1"/>
        <v>-2270307.1840072349</v>
      </c>
      <c r="M35" s="21">
        <f t="shared" si="2"/>
        <v>0.1</v>
      </c>
      <c r="O35" s="21"/>
    </row>
    <row r="36" spans="2:15" x14ac:dyDescent="0.25">
      <c r="I36" s="33">
        <v>89</v>
      </c>
      <c r="J36" s="22">
        <f t="shared" si="0"/>
        <v>-2270307.1840072349</v>
      </c>
      <c r="K36" s="23">
        <f t="shared" si="1"/>
        <v>-4260281.2048701225</v>
      </c>
      <c r="M36" s="21">
        <f t="shared" si="2"/>
        <v>0.1</v>
      </c>
      <c r="O36" s="21"/>
    </row>
    <row r="37" spans="2:15" x14ac:dyDescent="0.25">
      <c r="I37" s="33">
        <v>90</v>
      </c>
      <c r="J37" s="22">
        <f t="shared" si="0"/>
        <v>-4260281.2048701225</v>
      </c>
      <c r="K37" s="23">
        <f t="shared" si="1"/>
        <v>-6449252.6278192988</v>
      </c>
      <c r="M37" s="21">
        <f t="shared" si="2"/>
        <v>0.1</v>
      </c>
      <c r="O37" s="21"/>
    </row>
    <row r="38" spans="2:15" x14ac:dyDescent="0.25">
      <c r="I38" s="33">
        <v>91</v>
      </c>
      <c r="J38" s="22">
        <f t="shared" si="0"/>
        <v>-6449252.6278192988</v>
      </c>
      <c r="K38" s="23">
        <f t="shared" si="1"/>
        <v>-8857121.1930633932</v>
      </c>
      <c r="M38" s="21">
        <f t="shared" si="2"/>
        <v>0.1</v>
      </c>
      <c r="O38" s="21"/>
    </row>
    <row r="39" spans="2:15" x14ac:dyDescent="0.25">
      <c r="I39" s="33">
        <v>92</v>
      </c>
      <c r="J39" s="22">
        <f t="shared" si="0"/>
        <v>-8857121.1930633932</v>
      </c>
      <c r="K39" s="23">
        <f t="shared" si="1"/>
        <v>-11505776.614831896</v>
      </c>
      <c r="M39" s="21">
        <f t="shared" si="2"/>
        <v>0.1</v>
      </c>
      <c r="O39" s="21"/>
    </row>
    <row r="40" spans="2:15" x14ac:dyDescent="0.25">
      <c r="I40" s="33">
        <v>93</v>
      </c>
      <c r="J40" s="22">
        <f t="shared" si="0"/>
        <v>-11505776.614831896</v>
      </c>
      <c r="K40" s="23">
        <f t="shared" si="1"/>
        <v>-14419297.578777252</v>
      </c>
      <c r="M40" s="21">
        <f t="shared" si="2"/>
        <v>0.1</v>
      </c>
      <c r="O40" s="21"/>
    </row>
    <row r="41" spans="2:15" x14ac:dyDescent="0.25">
      <c r="I41" s="33">
        <v>94</v>
      </c>
      <c r="J41" s="22">
        <f t="shared" si="0"/>
        <v>-14419297.578777252</v>
      </c>
      <c r="K41" s="23">
        <f t="shared" si="1"/>
        <v>-17624170.63911714</v>
      </c>
      <c r="M41" s="21">
        <f t="shared" si="2"/>
        <v>0.1</v>
      </c>
      <c r="O41" s="21"/>
    </row>
    <row r="42" spans="2:15" x14ac:dyDescent="0.25">
      <c r="I42" s="33">
        <v>95</v>
      </c>
      <c r="J42" s="22">
        <f t="shared" si="0"/>
        <v>-17624170.63911714</v>
      </c>
      <c r="K42" s="23">
        <f t="shared" si="1"/>
        <v>-21149531.005491022</v>
      </c>
      <c r="M42" s="21">
        <f t="shared" si="2"/>
        <v>0.1</v>
      </c>
      <c r="O42" s="21"/>
    </row>
    <row r="43" spans="2:15" x14ac:dyDescent="0.25">
      <c r="J43" s="7"/>
      <c r="K43" s="8"/>
    </row>
    <row r="44" spans="2:15" x14ac:dyDescent="0.25">
      <c r="J44" s="24"/>
      <c r="K44" s="25"/>
    </row>
  </sheetData>
  <hyperlinks>
    <hyperlink ref="K3" r:id="rId1" location="Calculator" xr:uid="{B36A01C3-73D9-43EE-85F3-4BC06CBE8F6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D7DD-24E9-4862-AF5A-740B1EA5AA08}">
  <dimension ref="B3:C26"/>
  <sheetViews>
    <sheetView workbookViewId="0">
      <selection activeCell="E18" sqref="E18"/>
    </sheetView>
  </sheetViews>
  <sheetFormatPr defaultRowHeight="15" x14ac:dyDescent="0.25"/>
  <cols>
    <col min="2" max="2" width="27.5703125" customWidth="1"/>
    <col min="3" max="3" width="126.28515625" customWidth="1"/>
  </cols>
  <sheetData>
    <row r="3" spans="2:3" ht="18.75" x14ac:dyDescent="0.25">
      <c r="B3" s="70" t="s">
        <v>97</v>
      </c>
    </row>
    <row r="4" spans="2:3" x14ac:dyDescent="0.25">
      <c r="B4" s="63"/>
    </row>
    <row r="5" spans="2:3" x14ac:dyDescent="0.25">
      <c r="B5" s="63" t="s">
        <v>98</v>
      </c>
    </row>
    <row r="6" spans="2:3" ht="15.75" thickBot="1" x14ac:dyDescent="0.3">
      <c r="B6" s="63"/>
    </row>
    <row r="7" spans="2:3" ht="15" customHeight="1" x14ac:dyDescent="0.25">
      <c r="B7" s="67" t="s">
        <v>99</v>
      </c>
      <c r="C7" s="64"/>
    </row>
    <row r="8" spans="2:3" x14ac:dyDescent="0.25">
      <c r="B8" s="68"/>
      <c r="C8" s="65"/>
    </row>
    <row r="9" spans="2:3" x14ac:dyDescent="0.25">
      <c r="B9" s="68"/>
      <c r="C9" s="65"/>
    </row>
    <row r="10" spans="2:3" x14ac:dyDescent="0.25">
      <c r="B10" s="68"/>
      <c r="C10" s="65"/>
    </row>
    <row r="11" spans="2:3" ht="15.75" thickBot="1" x14ac:dyDescent="0.3">
      <c r="B11" s="69"/>
      <c r="C11" s="66"/>
    </row>
    <row r="12" spans="2:3" ht="15" customHeight="1" x14ac:dyDescent="0.25">
      <c r="B12" s="67" t="s">
        <v>100</v>
      </c>
      <c r="C12" s="64"/>
    </row>
    <row r="13" spans="2:3" x14ac:dyDescent="0.25">
      <c r="B13" s="68"/>
      <c r="C13" s="65"/>
    </row>
    <row r="14" spans="2:3" x14ac:dyDescent="0.25">
      <c r="B14" s="68"/>
      <c r="C14" s="65"/>
    </row>
    <row r="15" spans="2:3" x14ac:dyDescent="0.25">
      <c r="B15" s="68"/>
      <c r="C15" s="65"/>
    </row>
    <row r="16" spans="2:3" ht="15.75" thickBot="1" x14ac:dyDescent="0.3">
      <c r="B16" s="69"/>
      <c r="C16" s="66"/>
    </row>
    <row r="17" spans="2:3" x14ac:dyDescent="0.25">
      <c r="B17" s="67" t="s">
        <v>101</v>
      </c>
      <c r="C17" s="64"/>
    </row>
    <row r="18" spans="2:3" x14ac:dyDescent="0.25">
      <c r="B18" s="68"/>
      <c r="C18" s="65"/>
    </row>
    <row r="19" spans="2:3" x14ac:dyDescent="0.25">
      <c r="B19" s="68"/>
      <c r="C19" s="65"/>
    </row>
    <row r="20" spans="2:3" x14ac:dyDescent="0.25">
      <c r="B20" s="68"/>
      <c r="C20" s="65"/>
    </row>
    <row r="21" spans="2:3" ht="15.75" thickBot="1" x14ac:dyDescent="0.3">
      <c r="B21" s="69"/>
      <c r="C21" s="66"/>
    </row>
    <row r="22" spans="2:3" ht="15" customHeight="1" x14ac:dyDescent="0.25">
      <c r="B22" s="67" t="s">
        <v>102</v>
      </c>
      <c r="C22" s="64"/>
    </row>
    <row r="23" spans="2:3" x14ac:dyDescent="0.25">
      <c r="B23" s="68"/>
      <c r="C23" s="65"/>
    </row>
    <row r="24" spans="2:3" x14ac:dyDescent="0.25">
      <c r="B24" s="68"/>
      <c r="C24" s="65"/>
    </row>
    <row r="25" spans="2:3" x14ac:dyDescent="0.25">
      <c r="B25" s="68"/>
      <c r="C25" s="65"/>
    </row>
    <row r="26" spans="2:3" ht="15.75" thickBot="1" x14ac:dyDescent="0.3">
      <c r="B26" s="66"/>
      <c r="C26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Active Plan Members</vt:lpstr>
      <vt:lpstr>Pensioners</vt:lpstr>
      <vt:lpstr>Assets</vt:lpstr>
      <vt:lpstr>Funded Status</vt:lpstr>
      <vt:lpstr>Ernie Cannon</vt:lpstr>
      <vt:lpstr>Edmund Phillips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hay</dc:creator>
  <cp:lastModifiedBy>britta hay</cp:lastModifiedBy>
  <dcterms:created xsi:type="dcterms:W3CDTF">2025-02-28T02:48:56Z</dcterms:created>
  <dcterms:modified xsi:type="dcterms:W3CDTF">2025-02-28T06:44:27Z</dcterms:modified>
</cp:coreProperties>
</file>